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qp1LEWblkyOQIPCfTOKtl/5RoaJnn/qbp2DC7m/O4pisvWf0B5D8NpWCIGUm5vTYkZKY1FkFk4lrA0BOM0HEgg==" workbookSaltValue="gqRrX21XRPyewQ+YkJSGr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23" i="2" s="1"/>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23" i="2" s="1"/>
  <c r="N16" i="2"/>
  <c r="N13" i="2"/>
  <c r="N12" i="2"/>
  <c r="N11" i="2"/>
  <c r="N10" i="2"/>
  <c r="N9" i="2"/>
  <c r="N14" i="2" s="1"/>
  <c r="M29" i="2"/>
  <c r="M28" i="2"/>
  <c r="M25" i="2"/>
  <c r="M22" i="2"/>
  <c r="M21" i="2"/>
  <c r="M20" i="2"/>
  <c r="M19" i="2"/>
  <c r="M18" i="2"/>
  <c r="M17" i="2"/>
  <c r="M16" i="2"/>
  <c r="M13" i="2"/>
  <c r="M12" i="2"/>
  <c r="M11" i="2"/>
  <c r="M10" i="2"/>
  <c r="M14" i="2" s="1"/>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N26" i="2"/>
  <c r="M23" i="2"/>
  <c r="K30" i="2"/>
  <c r="F30" i="17"/>
  <c r="F14" i="7"/>
  <c r="T14" i="16"/>
  <c r="T14" i="20"/>
  <c r="BF25" i="8"/>
  <c r="BF9" i="8"/>
  <c r="C30" i="7"/>
  <c r="AO14" i="21"/>
  <c r="AP14" i="16"/>
  <c r="T23" i="17"/>
  <c r="T26" i="17" s="1"/>
  <c r="T30" i="17" s="1"/>
  <c r="BG16" i="13"/>
  <c r="BE16" i="13"/>
  <c r="G23" i="14"/>
  <c r="X32" i="20"/>
  <c r="G30" i="14"/>
  <c r="H28" i="2" l="1"/>
  <c r="AY14" i="8"/>
  <c r="BG16" i="8"/>
  <c r="Z14" i="17"/>
  <c r="BD17" i="13"/>
  <c r="BE17" i="13"/>
  <c r="BF17" i="8"/>
  <c r="B16" i="6"/>
  <c r="BD12" i="8"/>
  <c r="R8" i="9"/>
  <c r="AA28" i="16" s="1"/>
  <c r="X22" i="17"/>
  <c r="X18" i="17"/>
  <c r="X20" i="20"/>
  <c r="V12" i="16"/>
  <c r="X25" i="16"/>
  <c r="X30" i="16" s="1"/>
  <c r="S29" i="14"/>
  <c r="V29" i="14" s="1"/>
  <c r="R19" i="14"/>
  <c r="T13" i="11"/>
  <c r="T11" i="11"/>
  <c r="T16" i="11"/>
  <c r="X17" i="17"/>
  <c r="X11" i="17"/>
  <c r="X17" i="20"/>
  <c r="AZ28" i="11"/>
  <c r="X12" i="16"/>
  <c r="R13" i="17"/>
  <c r="AS14" i="8"/>
  <c r="H13" i="10"/>
  <c r="BF23" i="19"/>
  <c r="BF9" i="13"/>
  <c r="BB14" i="13"/>
  <c r="BF20" i="8"/>
  <c r="B23" i="7"/>
  <c r="AP11" i="11"/>
  <c r="Y11" i="11"/>
  <c r="F9" i="2"/>
  <c r="E28" i="3"/>
  <c r="G22" i="3"/>
  <c r="G20" i="3"/>
  <c r="G18" i="3"/>
  <c r="G16" i="3"/>
  <c r="I11" i="3"/>
  <c r="K16" i="7"/>
  <c r="E13" i="6"/>
  <c r="AL17" i="11"/>
  <c r="AL20" i="11"/>
  <c r="BG25" i="13"/>
  <c r="BE25" i="13"/>
  <c r="BC23" i="13"/>
  <c r="AZ23" i="13"/>
  <c r="BB23" i="13"/>
  <c r="BA23" i="13"/>
  <c r="BD20" i="13"/>
  <c r="BG21" i="13"/>
  <c r="BD21" i="13"/>
  <c r="AY30" i="13"/>
  <c r="BF28" i="13"/>
  <c r="AZ30" i="13"/>
  <c r="R30" i="17"/>
  <c r="N9" i="11"/>
  <c r="J18" i="7"/>
  <c r="B20" i="6"/>
  <c r="AB31" i="19"/>
  <c r="CN31" i="19"/>
  <c r="BF16" i="13"/>
  <c r="BG9" i="13"/>
  <c r="BD9" i="13"/>
  <c r="AM31" i="13"/>
  <c r="AC31" i="13"/>
  <c r="AM31" i="8"/>
  <c r="H30" i="12"/>
  <c r="D30" i="12"/>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T23" i="20"/>
  <c r="AQ31" i="19"/>
  <c r="J23" i="17"/>
  <c r="BL25" i="16"/>
  <c r="BE19" i="13"/>
  <c r="AQ31" i="13"/>
  <c r="U31" i="13"/>
  <c r="S31" i="13"/>
  <c r="BE28" i="13"/>
  <c r="BD29" i="13"/>
  <c r="BC14" i="13"/>
  <c r="BG10" i="13"/>
  <c r="BE9" i="13"/>
  <c r="B30" i="7"/>
  <c r="AI31" i="8"/>
  <c r="W31" i="8"/>
  <c r="BD22" i="8"/>
  <c r="H22" i="7" s="1"/>
  <c r="BD21" i="8"/>
  <c r="H21" i="7" s="1"/>
  <c r="C12" i="6"/>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C30" i="2"/>
  <c r="D30" i="2" s="1"/>
  <c r="AL18" i="11"/>
  <c r="BI18" i="16"/>
  <c r="B29" i="6"/>
  <c r="AN9" i="11"/>
  <c r="K9" i="7"/>
  <c r="AO11" i="11"/>
  <c r="AL9" i="11"/>
  <c r="H12" i="2"/>
  <c r="H10" i="2"/>
  <c r="BD26" i="19"/>
  <c r="AB14" i="21"/>
  <c r="AB31" i="21" s="1"/>
  <c r="AE14" i="21"/>
  <c r="AE31" i="21" s="1"/>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E11" i="6"/>
  <c r="E28" i="6"/>
  <c r="AL11" i="11"/>
  <c r="B11" i="6"/>
  <c r="J21" i="2"/>
  <c r="AN11" i="11"/>
  <c r="AM21" i="11"/>
  <c r="AN13" i="11"/>
  <c r="B21" i="6"/>
  <c r="J12" i="2"/>
  <c r="H9" i="2"/>
  <c r="D19" i="6"/>
  <c r="BI17" i="16"/>
  <c r="L11" i="14"/>
  <c r="E20" i="6"/>
  <c r="H16" i="2"/>
  <c r="T10" i="2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J31" i="8"/>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E17" i="6"/>
  <c r="D17" i="2"/>
  <c r="L9" i="14"/>
  <c r="C29" i="6"/>
  <c r="I29" i="12" s="1"/>
  <c r="AL10" i="11"/>
  <c r="C10" i="6"/>
  <c r="C9" i="6"/>
  <c r="E16" i="6"/>
  <c r="K16" i="12" s="1"/>
  <c r="E23" i="2"/>
  <c r="F23" i="2" s="1"/>
  <c r="F16" i="2"/>
  <c r="AL22" i="11"/>
  <c r="H20" i="2"/>
  <c r="H18" i="7"/>
  <c r="AN18" i="11"/>
  <c r="H18" i="2"/>
  <c r="BI16" i="16"/>
  <c r="G23" i="2"/>
  <c r="J20" i="2"/>
  <c r="C20" i="6"/>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M13" i="11"/>
  <c r="J9" i="2"/>
  <c r="AO9" i="17"/>
  <c r="B22" i="6"/>
  <c r="AN22" i="11"/>
  <c r="L22" i="14"/>
  <c r="C22" i="6"/>
  <c r="J22" i="2"/>
  <c r="J20" i="7"/>
  <c r="BC33" i="21"/>
  <c r="BE14" i="19"/>
  <c r="Q31" i="19"/>
  <c r="X31" i="19"/>
  <c r="AF31" i="19"/>
  <c r="AN31" i="19"/>
  <c r="BI31" i="19"/>
  <c r="AY31" i="19"/>
  <c r="AQ14" i="21"/>
  <c r="AT30" i="20"/>
  <c r="BC31" i="19"/>
  <c r="BF30" i="19"/>
  <c r="AL31" i="19"/>
  <c r="AR31" i="19"/>
  <c r="EL31" i="19"/>
  <c r="AO26" i="20"/>
  <c r="S31" i="19"/>
  <c r="AA31" i="19"/>
  <c r="AI31" i="19"/>
  <c r="BK31" i="19"/>
  <c r="AR26" i="20"/>
  <c r="AO30" i="20"/>
  <c r="CL31" i="19"/>
  <c r="M14" i="21"/>
  <c r="M31" i="21" s="1"/>
  <c r="AM14" i="21"/>
  <c r="ER31" i="19"/>
  <c r="AP31" i="19"/>
  <c r="AM31" i="19"/>
  <c r="E26" i="17"/>
  <c r="Z32" i="20"/>
  <c r="T32" i="20"/>
  <c r="AM32" i="20"/>
  <c r="Q32" i="20"/>
  <c r="W32" i="21"/>
  <c r="E32" i="20"/>
  <c r="AV32" i="20"/>
  <c r="O32" i="20"/>
  <c r="AQ32" i="21"/>
  <c r="Y32" i="20"/>
  <c r="L32" i="20"/>
  <c r="AJ32" i="20"/>
  <c r="AH32" i="20"/>
  <c r="I32" i="20"/>
  <c r="O18" i="11"/>
  <c r="AB32" i="20"/>
  <c r="AI32" i="20"/>
  <c r="S32" i="20"/>
  <c r="R32" i="20"/>
  <c r="N32" i="20"/>
  <c r="AA32" i="20"/>
  <c r="G14" i="14"/>
  <c r="AC32" i="20"/>
  <c r="AN32" i="20"/>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M11" i="11" l="1"/>
  <c r="AO21" i="17"/>
  <c r="BH30" i="16"/>
  <c r="X22" i="16"/>
  <c r="X9" i="16"/>
  <c r="X31" i="16" s="1"/>
  <c r="S22" i="17"/>
  <c r="U10" i="21"/>
  <c r="X21" i="17"/>
  <c r="X25" i="17"/>
  <c r="S9" i="14"/>
  <c r="V9" i="14" s="1"/>
  <c r="T25" i="11"/>
  <c r="R29" i="14"/>
  <c r="R12" i="14"/>
  <c r="S19" i="14"/>
  <c r="V19" i="14" s="1"/>
  <c r="T19" i="20"/>
  <c r="V16" i="16"/>
  <c r="X18" i="20"/>
  <c r="X10" i="17"/>
  <c r="K9" i="12"/>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BK21" i="11"/>
  <c r="BK11" i="11"/>
  <c r="V11" i="11"/>
  <c r="AZ18" i="11"/>
  <c r="BI25" i="11"/>
  <c r="AP10" i="21"/>
  <c r="BM12" i="11"/>
  <c r="AP21" i="20"/>
  <c r="V13" i="11"/>
  <c r="BH20" i="16"/>
  <c r="V9" i="11"/>
  <c r="BJ11" i="11"/>
  <c r="BI19" i="11"/>
  <c r="BH22" i="16"/>
  <c r="BJ16" i="11"/>
  <c r="R10" i="21"/>
  <c r="R14" i="21" s="1"/>
  <c r="R31" i="21" s="1"/>
  <c r="AP22" i="20"/>
  <c r="BJ20" i="11"/>
  <c r="BF11" i="11"/>
  <c r="BH21" i="16"/>
  <c r="BL9" i="11"/>
  <c r="BH18" i="16"/>
  <c r="BF19" i="11"/>
  <c r="BJ19" i="11"/>
  <c r="BL18" i="11"/>
  <c r="BI28" i="11"/>
  <c r="BK12" i="11"/>
  <c r="BF25" i="11"/>
  <c r="S18" i="16"/>
  <c r="AZ29" i="11"/>
  <c r="BK16" i="11"/>
  <c r="BJ21" i="11"/>
  <c r="V21" i="11"/>
  <c r="BF22" i="11"/>
  <c r="BH9" i="11"/>
  <c r="BI16" i="11"/>
  <c r="BJ29" i="11"/>
  <c r="BM13" i="11"/>
  <c r="BJ12" i="11"/>
  <c r="AP16" i="20"/>
  <c r="BG16" i="11"/>
  <c r="AZ13" i="11"/>
  <c r="BH13" i="11"/>
  <c r="V20" i="11"/>
  <c r="BL13" i="11"/>
  <c r="BL25" i="11"/>
  <c r="BH18" i="11"/>
  <c r="BG19" i="11"/>
  <c r="BM16" i="11"/>
  <c r="AZ9" i="11"/>
  <c r="AP26" i="21"/>
  <c r="BM20" i="11"/>
  <c r="AP18" i="20"/>
  <c r="BJ28" i="11"/>
  <c r="BG21" i="11"/>
  <c r="BU28" i="17"/>
  <c r="BU25" i="17"/>
  <c r="BU11" i="17"/>
  <c r="BV28" i="16"/>
  <c r="BW9" i="20"/>
  <c r="BV13" i="16"/>
  <c r="BU21" i="17"/>
  <c r="BW13" i="20"/>
  <c r="BV17" i="16"/>
  <c r="BV21" i="16"/>
  <c r="BW17" i="20"/>
  <c r="BU29" i="17"/>
  <c r="BV25" i="16"/>
  <c r="BV11" i="16"/>
  <c r="T18" i="11"/>
  <c r="S20" i="14"/>
  <c r="V20" i="14" s="1"/>
  <c r="BH16" i="11"/>
  <c r="P18" i="17"/>
  <c r="BF29" i="11"/>
  <c r="BK19" i="11"/>
  <c r="BG29" i="11"/>
  <c r="Q10" i="21"/>
  <c r="BK25" i="11"/>
  <c r="BH20" i="11"/>
  <c r="BG9" i="11"/>
  <c r="BL11" i="11"/>
  <c r="R18" i="20"/>
  <c r="R23" i="20" s="1"/>
  <c r="BL21" i="11"/>
  <c r="P21" i="11" s="1"/>
  <c r="BK18" i="11"/>
  <c r="T18" i="16"/>
  <c r="BL29" i="11"/>
  <c r="T16" i="16"/>
  <c r="BW20" i="20"/>
  <c r="BV19" i="16"/>
  <c r="BV18" i="16"/>
  <c r="BW18" i="20"/>
  <c r="BV12" i="16"/>
  <c r="BW12" i="20"/>
  <c r="BV16" i="16"/>
  <c r="BW16" i="20"/>
  <c r="BU20" i="17"/>
  <c r="U10" i="17"/>
  <c r="BW29" i="20"/>
  <c r="BV10" i="16"/>
  <c r="BW22" i="20"/>
  <c r="BU18" i="17"/>
  <c r="BV29" i="16"/>
  <c r="S11" i="17"/>
  <c r="BU17" i="17"/>
  <c r="BV20" i="16"/>
  <c r="AZ22" i="11"/>
  <c r="AA20" i="16"/>
  <c r="R28" i="14"/>
  <c r="AZ17" i="11"/>
  <c r="X16" i="17"/>
  <c r="BF20" i="11"/>
  <c r="T17" i="11"/>
  <c r="S16" i="16"/>
  <c r="P16" i="17"/>
  <c r="BL20" i="11"/>
  <c r="Q20" i="11" s="1"/>
  <c r="BF12" i="11"/>
  <c r="BL16" i="11"/>
  <c r="BH25" i="16"/>
  <c r="BH21" i="11"/>
  <c r="BK20" i="11"/>
  <c r="AZ25" i="11"/>
  <c r="AZ30" i="11" s="1"/>
  <c r="BJ10" i="11"/>
  <c r="BK17" i="11"/>
  <c r="Q16" i="17"/>
  <c r="BM18" i="11"/>
  <c r="BF16" i="11"/>
  <c r="BH17" i="11"/>
  <c r="BL22" i="11"/>
  <c r="AQ12" i="21"/>
  <c r="BI22" i="11"/>
  <c r="BH25" i="11"/>
  <c r="BK10" i="11"/>
  <c r="BI21" i="11"/>
  <c r="L22" i="2"/>
  <c r="L29" i="2"/>
  <c r="L16" i="2"/>
  <c r="L17" i="2"/>
  <c r="X19" i="16"/>
  <c r="L18" i="2"/>
  <c r="L20" i="2"/>
  <c r="AA11" i="16"/>
  <c r="L21" i="2"/>
  <c r="AA9" i="16"/>
  <c r="V9" i="16"/>
  <c r="BH11" i="16"/>
  <c r="BK13" i="11"/>
  <c r="BH19" i="16"/>
  <c r="BM29" i="11"/>
  <c r="BH19" i="11"/>
  <c r="BK9" i="11"/>
  <c r="S9" i="17"/>
  <c r="BI10" i="11"/>
  <c r="BM25" i="11"/>
  <c r="P25" i="11" s="1"/>
  <c r="V28" i="11"/>
  <c r="BI18" i="11"/>
  <c r="S28" i="14"/>
  <c r="V28" i="14" s="1"/>
  <c r="BH28" i="16"/>
  <c r="V29" i="11"/>
  <c r="V22" i="11"/>
  <c r="AZ21" i="11"/>
  <c r="AO28" i="17"/>
  <c r="BJ25" i="11"/>
  <c r="AZ16" i="11"/>
  <c r="AZ23" i="11" s="1"/>
  <c r="AZ26" i="11" s="1"/>
  <c r="BU16" i="17"/>
  <c r="BW19" i="20"/>
  <c r="X20" i="16"/>
  <c r="BU10" i="17"/>
  <c r="BW25" i="20"/>
  <c r="BU22" i="17"/>
  <c r="X21" i="16"/>
  <c r="BW11" i="20"/>
  <c r="BU9" i="17"/>
  <c r="S21" i="17"/>
  <c r="BU19" i="17"/>
  <c r="BW28" i="20"/>
  <c r="BW10" i="20"/>
  <c r="BU13" i="17"/>
  <c r="BV22" i="16"/>
  <c r="BW21" i="20"/>
  <c r="BU12" i="17"/>
  <c r="BV9"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BH22" i="11"/>
  <c r="BH23" i="11" s="1"/>
  <c r="L10" i="2"/>
  <c r="L28" i="2"/>
  <c r="X21" i="20"/>
  <c r="S16" i="17"/>
  <c r="S17" i="17"/>
  <c r="L12" i="2"/>
  <c r="L25" i="2"/>
  <c r="L13" i="2"/>
  <c r="X10" i="21"/>
  <c r="L19" i="2"/>
  <c r="U9" i="17"/>
  <c r="U31" i="17" s="1"/>
  <c r="L9" i="2"/>
  <c r="V25" i="16"/>
  <c r="X13" i="16"/>
  <c r="T28" i="11"/>
  <c r="T19" i="11"/>
  <c r="R22" i="14"/>
  <c r="R11" i="14"/>
  <c r="S21" i="14"/>
  <c r="V21" i="14" s="1"/>
  <c r="S10" i="14"/>
  <c r="V10" i="14" s="1"/>
  <c r="AP14" i="20"/>
  <c r="AO13" i="17"/>
  <c r="AO18" i="17"/>
  <c r="AM20" i="11"/>
  <c r="AM22" i="11"/>
  <c r="AM25" i="11"/>
  <c r="AQ26" i="21"/>
  <c r="AO26" i="17"/>
  <c r="V10" i="21"/>
  <c r="AO17" i="17"/>
  <c r="S28" i="17"/>
  <c r="AM19" i="11"/>
  <c r="AO10" i="17"/>
  <c r="AO30" i="17"/>
  <c r="AP23" i="20"/>
  <c r="AP30" i="21"/>
  <c r="X14" i="20"/>
  <c r="AM17" i="11"/>
  <c r="S13" i="17"/>
  <c r="X16" i="16"/>
  <c r="X23" i="16" s="1"/>
  <c r="U13" i="17"/>
  <c r="L11" i="2"/>
  <c r="V21" i="16"/>
  <c r="V18" i="16"/>
  <c r="V12" i="21"/>
  <c r="X22" i="20"/>
  <c r="X9" i="17"/>
  <c r="X12" i="17"/>
  <c r="AA10" i="16"/>
  <c r="T20" i="11"/>
  <c r="S16" i="14"/>
  <c r="V16" i="14" s="1"/>
  <c r="T9" i="11"/>
  <c r="T29" i="11"/>
  <c r="T21" i="11"/>
  <c r="AM9" i="11"/>
  <c r="R25" i="14"/>
  <c r="R26" i="14" s="1"/>
  <c r="R17" i="14"/>
  <c r="R10" i="14"/>
  <c r="S17" i="14"/>
  <c r="V17" i="14" s="1"/>
  <c r="S12" i="14"/>
  <c r="V12" i="14" s="1"/>
  <c r="V16" i="20"/>
  <c r="V23" i="20" s="1"/>
  <c r="V19" i="16"/>
  <c r="V10" i="16"/>
  <c r="AA12" i="21"/>
  <c r="X19" i="20"/>
  <c r="T18" i="20"/>
  <c r="AA16" i="16"/>
  <c r="X13" i="17"/>
  <c r="AA17" i="16"/>
  <c r="AA25" i="16"/>
  <c r="V13" i="16"/>
  <c r="T22" i="11"/>
  <c r="T12" i="11"/>
  <c r="R18" i="14"/>
  <c r="S18" i="14"/>
  <c r="V18" i="14" s="1"/>
  <c r="S13" i="14"/>
  <c r="V13" i="14" s="1"/>
  <c r="V14" i="14" s="1"/>
  <c r="R13" i="14"/>
  <c r="BF23" i="13"/>
  <c r="I16" i="12"/>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Q29" i="11"/>
  <c r="P29" i="11"/>
  <c r="Q10" i="11"/>
  <c r="D11" i="6"/>
  <c r="E11" i="3"/>
  <c r="BC26" i="8"/>
  <c r="BF26" i="8" s="1"/>
  <c r="Q12" i="11"/>
  <c r="R16" i="14"/>
  <c r="BH17" i="16"/>
  <c r="AO27" i="17"/>
  <c r="AM18" i="11"/>
  <c r="BI17" i="1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AN30" i="17"/>
  <c r="AN33" i="17" s="1"/>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AV32" i="21"/>
  <c r="K32" i="20"/>
  <c r="O12" i="11"/>
  <c r="H32" i="17"/>
  <c r="BJ23" i="11" l="1"/>
  <c r="P17" i="11"/>
  <c r="BV23" i="16"/>
  <c r="BV26" i="16" s="1"/>
  <c r="BV30" i="16" s="1"/>
  <c r="BK23" i="11"/>
  <c r="Q9" i="11"/>
  <c r="Q21" i="11"/>
  <c r="BF23" i="11"/>
  <c r="Q17" i="11"/>
  <c r="P13" i="11"/>
  <c r="Q13" i="11"/>
  <c r="S14" i="14"/>
  <c r="BI23" i="11"/>
  <c r="P9" i="11"/>
  <c r="P20" i="11"/>
  <c r="Q25" i="11"/>
  <c r="BK14" i="11"/>
  <c r="Q23" i="17"/>
  <c r="Q31" i="17" s="1"/>
  <c r="P23" i="17"/>
  <c r="P31" i="17" s="1"/>
  <c r="AZ14" i="11"/>
  <c r="AZ31"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Z32" i="16"/>
  <c r="L32" i="11"/>
  <c r="I32" i="17"/>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I32" i="16"/>
  <c r="AD32" i="11"/>
  <c r="AB32" i="11"/>
  <c r="Q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AO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<sst xmlns="http://schemas.openxmlformats.org/spreadsheetml/2006/main" count="2682" uniqueCount="1193">
  <si>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</si>
  <si>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</si>
  <si>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</si>
  <si>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</si>
  <si>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</si>
  <si>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</si>
  <si>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</si>
  <si>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</si>
  <si>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</si>
  <si>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</si>
  <si>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</si>
  <si>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</si>
  <si>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</si>
  <si>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</si>
  <si>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</si>
  <si>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</si>
  <si>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</si>
  <si>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</si>
  <si>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</si>
  <si>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</si>
  <si>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</si>
  <si>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</si>
  <si>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</si>
  <si>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</si>
  <si>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</si>
  <si>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</si>
  <si>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</si>
  <si>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</si>
  <si>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</si>
  <si>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</si>
  <si>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</si>
  <si>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</si>
  <si>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</si>
  <si>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</si>
  <si>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</si>
  <si>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</si>
  <si>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</si>
  <si>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</si>
  <si>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</si>
  <si>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</si>
  <si>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</si>
  <si>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</si>
  <si>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</si>
  <si>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</si>
  <si>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</si>
  <si>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</si>
  <si>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</si>
  <si>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</si>
  <si>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</si>
  <si>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</si>
  <si>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</si>
  <si>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</si>
  <si>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</si>
  <si>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</si>
  <si>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</si>
  <si>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</si>
  <si>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</si>
  <si>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</si>
  <si>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</si>
  <si>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</si>
  <si>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</si>
  <si>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</si>
  <si>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</si>
  <si>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</si>
  <si>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</si>
  <si>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</si>
  <si>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</si>
  <si>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</si>
  <si>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</si>
  <si>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</si>
  <si>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</si>
  <si>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</si>
  <si>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</si>
  <si>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</si>
  <si>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</si>
  <si>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</si>
  <si>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</si>
  <si>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</si>
  <si>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</si>
  <si>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</si>
  <si>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</si>
  <si>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</si>
  <si>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</si>
  <si>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</si>
  <si>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</si>
  <si>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</si>
  <si>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</si>
  <si>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</si>
  <si>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</si>
  <si>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</si>
  <si>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</si>
  <si>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</si>
  <si>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</si>
  <si>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</si>
  <si>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</si>
  <si>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</si>
  <si>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</si>
  <si>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</si>
  <si>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</si>
  <si>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</si>
  <si>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</si>
  <si>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</si>
  <si>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</si>
  <si>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</si>
  <si>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</si>
  <si>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</si>
  <si>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</si>
  <si>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</si>
  <si>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</si>
  <si>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</si>
  <si>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</si>
  <si>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</si>
  <si>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</si>
  <si>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</si>
  <si>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</si>
  <si>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</si>
  <si>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</si>
  <si>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</si>
  <si>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</si>
  <si>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</si>
  <si>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</si>
  <si>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</si>
  <si>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</si>
  <si>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</si>
  <si>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</si>
  <si>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</si>
  <si>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</si>
  <si>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</si>
  <si>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</si>
  <si>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</si>
  <si>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</si>
  <si>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</si>
  <si>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</si>
  <si>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</si>
  <si>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</si>
  <si>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</si>
  <si>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</si>
  <si>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</si>
  <si>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</si>
  <si>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</si>
  <si>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</si>
  <si>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</si>
  <si>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</si>
  <si>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</si>
  <si>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</si>
  <si>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</si>
  <si>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</si>
  <si>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</si>
  <si>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</si>
  <si>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</si>
  <si>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</si>
  <si>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</si>
  <si>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</si>
  <si>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</si>
  <si>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</si>
  <si>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</si>
  <si>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</si>
  <si>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</si>
  <si>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</si>
  <si>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</si>
  <si>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</si>
  <si>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</si>
  <si>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</si>
  <si>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</si>
  <si>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</si>
  <si>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</si>
  <si>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</si>
  <si>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</si>
  <si>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</si>
  <si>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</si>
  <si>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</si>
  <si>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</si>
  <si>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</si>
  <si>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</si>
  <si>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</si>
  <si>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</si>
  <si>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</si>
  <si>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</si>
  <si>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</si>
  <si>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</si>
  <si>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</si>
  <si>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</si>
  <si>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</si>
  <si>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</si>
  <si>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</si>
  <si>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</si>
  <si>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</si>
  <si>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</si>
  <si>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</si>
  <si>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</si>
  <si>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</si>
  <si>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</si>
  <si>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</si>
  <si>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</si>
  <si>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</si>
  <si>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</si>
  <si>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</si>
  <si>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</si>
  <si>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</si>
  <si>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</si>
  <si>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</si>
  <si>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</si>
  <si>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</si>
  <si>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</si>
  <si>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</si>
  <si>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</si>
  <si>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</si>
  <si>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</si>
  <si>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</si>
  <si>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</si>
  <si>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</si>
  <si>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</si>
  <si>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</si>
  <si>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</si>
  <si>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</si>
  <si>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</si>
  <si>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</si>
  <si>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</si>
  <si>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</si>
  <si>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</si>
  <si>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</si>
  <si>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</si>
  <si>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</si>
  <si>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</si>
  <si>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</si>
  <si>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</si>
  <si>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</si>
  <si>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</si>
  <si>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</si>
  <si>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</si>
  <si>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</si>
  <si>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</si>
  <si>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</si>
  <si>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</si>
  <si>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</si>
  <si>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</si>
  <si>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</si>
  <si>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</si>
  <si>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</si>
  <si>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</si>
  <si>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</si>
  <si>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</si>
  <si>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</si>
  <si>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</si>
  <si>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</si>
  <si>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</si>
  <si>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</si>
  <si>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</si>
  <si>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</si>
  <si>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</si>
  <si>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</si>
  <si>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</si>
  <si>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</si>
  <si>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</si>
  <si>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</si>
  <si>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</si>
  <si>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</si>
  <si>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</si>
  <si>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</si>
  <si>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</si>
  <si>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</si>
  <si>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</si>
  <si>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</si>
  <si>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</si>
  <si>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</si>
  <si>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</si>
  <si>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</si>
  <si>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</si>
  <si>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</si>
  <si>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</si>
  <si>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</si>
  <si>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</si>
  <si>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</si>
  <si>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</si>
  <si>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</si>
  <si>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</si>
  <si>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</si>
  <si>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</si>
  <si>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</si>
  <si>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</si>
  <si>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</si>
  <si>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</si>
  <si>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</si>
  <si>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</si>
  <si>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</si>
  <si>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</si>
  <si>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</si>
  <si>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</si>
  <si>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</si>
  <si>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</si>
  <si>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</si>
  <si>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</si>
  <si>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</si>
  <si>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</si>
  <si>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</si>
  <si>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</si>
  <si>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</si>
  <si>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</si>
  <si>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</si>
  <si>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</si>
  <si>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</si>
  <si>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</si>
  <si>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</si>
  <si>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</si>
  <si>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</si>
  <si>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</si>
  <si>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</si>
  <si>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</si>
  <si>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</si>
  <si>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</si>
  <si>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</si>
  <si>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</si>
  <si>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</si>
  <si>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</si>
  <si>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</si>
  <si>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</si>
  <si>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</si>
  <si>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</si>
  <si>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</si>
  <si>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</si>
  <si>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</si>
  <si>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</si>
  <si>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</si>
  <si>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</si>
  <si>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</si>
  <si>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</si>
  <si>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</si>
  <si>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</si>
  <si>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</si>
  <si>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</si>
  <si>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</si>
  <si>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</si>
  <si>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</si>
  <si>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</si>
  <si>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</si>
  <si>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</si>
  <si>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</si>
  <si>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</si>
  <si>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</si>
  <si>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</si>
  <si>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</si>
  <si>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</si>
  <si>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</si>
  <si>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</si>
  <si>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</si>
  <si>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</si>
  <si>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</si>
  <si>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</si>
  <si>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</si>
  <si>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</si>
  <si>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</si>
  <si>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</si>
  <si>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</si>
  <si>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</si>
  <si>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</si>
  <si>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</si>
  <si>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</si>
  <si>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</si>
  <si>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</si>
  <si>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</si>
  <si>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</si>
  <si>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</si>
  <si>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</si>
  <si>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</si>
  <si>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</si>
  <si>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</si>
  <si>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</si>
  <si>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</si>
  <si>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</si>
  <si>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</si>
  <si>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</si>
  <si>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</si>
  <si>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</si>
  <si>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</si>
  <si>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</si>
  <si>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</si>
  <si>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</si>
  <si>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</si>
  <si>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</si>
  <si>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</si>
  <si>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</si>
  <si>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</si>
  <si>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</si>
  <si>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</si>
  <si>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</si>
  <si>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</si>
  <si>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</si>
  <si>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</si>
  <si>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</si>
  <si>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</si>
  <si>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</si>
  <si>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</si>
  <si>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</si>
  <si>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</si>
  <si>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</si>
  <si>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</si>
  <si>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</si>
  <si>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</si>
  <si>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</si>
  <si>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</si>
  <si>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</si>
  <si>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</si>
  <si>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</si>
  <si>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</si>
  <si>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</si>
  <si>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</si>
  <si>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</si>
  <si>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</si>
  <si>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</si>
  <si>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</si>
  <si>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</si>
  <si>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</si>
  <si>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</si>
  <si>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</si>
  <si>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</si>
  <si>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</si>
  <si>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</si>
  <si>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</si>
  <si>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</si>
  <si>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</si>
  <si>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</si>
  <si>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</si>
  <si>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</si>
  <si>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</si>
  <si>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</si>
  <si>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</si>
  <si>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</si>
  <si>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</si>
  <si>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</si>
  <si>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</si>
  <si>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</si>
  <si>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</si>
  <si>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</si>
  <si>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</si>
  <si>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</si>
  <si>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</si>
  <si>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</si>
  <si>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</si>
  <si>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</si>
  <si>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</si>
  <si>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</si>
  <si>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</si>
  <si>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</si>
  <si>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</si>
  <si>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</si>
  <si>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</si>
  <si>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</si>
  <si>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</si>
  <si>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</si>
  <si>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</si>
  <si>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</si>
  <si>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</si>
  <si>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</si>
  <si>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</si>
  <si>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</si>
  <si>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</si>
  <si>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</si>
  <si>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</si>
  <si>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</si>
  <si>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</si>
  <si>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</si>
  <si>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</si>
  <si>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</si>
  <si>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</si>
  <si>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</si>
  <si>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</si>
  <si>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</si>
  <si>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</si>
  <si>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</si>
  <si>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</si>
  <si>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</si>
  <si>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</si>
  <si>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</si>
  <si>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</si>
  <si>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</si>
  <si>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</si>
  <si>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</si>
  <si>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</si>
  <si>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</si>
  <si>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</si>
  <si>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</si>
  <si>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</si>
  <si>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</si>
  <si>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</si>
  <si>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</si>
  <si>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</si>
  <si>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</si>
  <si>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</si>
  <si>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</si>
  <si>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</si>
  <si>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</si>
  <si>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</si>
  <si>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</si>
  <si>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</si>
  <si>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</si>
  <si>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</si>
  <si>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</si>
  <si>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</si>
  <si>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</si>
  <si>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</si>
  <si>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</si>
  <si>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</si>
  <si>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</si>
  <si>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</si>
  <si>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</si>
  <si>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</si>
  <si>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</si>
  <si>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</si>
  <si>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</si>
  <si>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</si>
  <si>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</si>
  <si>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</si>
  <si>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</si>
  <si>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</si>
  <si>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</si>
  <si>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</si>
  <si>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</si>
  <si>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</si>
  <si>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</si>
  <si>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</si>
  <si>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</si>
  <si>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</si>
  <si>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</si>
  <si>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</si>
  <si>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</si>
  <si>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</si>
  <si>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</si>
  <si>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</si>
  <si>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</si>
  <si>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</si>
  <si>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</si>
  <si>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</si>
  <si>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</si>
  <si>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</si>
  <si>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</si>
  <si>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</si>
  <si>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</si>
  <si>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</si>
  <si>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</si>
  <si>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</si>
  <si>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</si>
  <si>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</si>
  <si>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</si>
  <si>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</si>
  <si>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</si>
  <si>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</si>
  <si>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</si>
  <si>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</si>
  <si>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</si>
  <si>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</si>
  <si>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</si>
  <si>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</si>
  <si>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</si>
  <si>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</si>
  <si>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</si>
  <si>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</si>
  <si>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</si>
  <si>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</si>
  <si>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</si>
  <si>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</si>
  <si>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</si>
  <si>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</si>
  <si>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</si>
  <si>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</si>
  <si>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</si>
  <si>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</si>
  <si>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</si>
  <si>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</si>
  <si>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</si>
  <si>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</si>
  <si>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</si>
  <si>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</si>
  <si>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</si>
  <si>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</si>
  <si>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</si>
  <si>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</si>
  <si>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</si>
  <si>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</si>
  <si>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</si>
  <si>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</si>
  <si>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</si>
  <si>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</si>
  <si>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</si>
  <si>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</si>
  <si>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</si>
  <si>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</si>
  <si>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</si>
  <si>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</si>
  <si>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</si>
  <si>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</si>
  <si>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</si>
  <si>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</si>
  <si>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</si>
  <si>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</si>
  <si>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</si>
  <si>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</si>
  <si>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</si>
  <si>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</si>
  <si>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</si>
  <si>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</si>
  <si>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</si>
  <si>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</si>
  <si>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</si>
  <si>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</si>
  <si>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</si>
  <si>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</si>
  <si>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</si>
  <si>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</si>
  <si>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</si>
  <si>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</si>
  <si>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</si>
  <si>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</si>
  <si>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</si>
  <si>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</si>
  <si>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</si>
  <si>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</si>
  <si>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</si>
  <si>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</si>
  <si>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</si>
  <si>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</si>
  <si>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</si>
  <si>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</si>
  <si>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</si>
  <si>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</si>
  <si>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</si>
  <si>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</si>
  <si>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</si>
  <si>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</si>
  <si>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</si>
  <si>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</si>
  <si>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</si>
  <si>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</si>
  <si>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</si>
  <si>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</si>
  <si>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</si>
  <si>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</si>
  <si>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</si>
  <si>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</si>
  <si>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</si>
  <si>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</si>
  <si>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</si>
  <si>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</si>
  <si>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</si>
  <si>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</si>
  <si>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</si>
  <si>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</si>
  <si>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</si>
  <si>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</si>
  <si>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</si>
  <si>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</si>
  <si>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</si>
  <si>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</si>
  <si>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</si>
  <si>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</si>
  <si>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</si>
  <si>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</si>
  <si>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</si>
  <si>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</si>
  <si>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</si>
  <si>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</si>
  <si>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</si>
  <si>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</si>
  <si>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</si>
  <si>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</si>
  <si>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</si>
  <si>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</si>
  <si>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</si>
  <si>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</si>
  <si>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</si>
  <si>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</si>
  <si>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</si>
  <si>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</si>
  <si>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</si>
  <si>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</si>
  <si>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</si>
  <si>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</si>
  <si>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</si>
  <si>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</si>
  <si>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</si>
  <si>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</si>
  <si>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</si>
  <si>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</si>
  <si>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</si>
  <si>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</si>
  <si>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</si>
  <si>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</si>
  <si>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</si>
  <si>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</si>
  <si>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</si>
  <si>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</si>
  <si>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</si>
  <si>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</si>
  <si>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</si>
  <si>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</si>
  <si>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</si>
  <si>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</si>
  <si>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</si>
  <si>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</si>
  <si>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</si>
  <si>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</si>
  <si>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</si>
  <si>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</si>
  <si>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</si>
  <si>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</si>
  <si>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</si>
  <si>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</si>
  <si>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</si>
  <si>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</si>
  <si>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</si>
  <si>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</si>
  <si>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</si>
  <si>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</si>
  <si>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</si>
  <si>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</si>
  <si>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</si>
  <si>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</si>
  <si>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</si>
  <si>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</si>
  <si>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</si>
  <si>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</si>
  <si>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</si>
  <si>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</si>
  <si>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</si>
  <si>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</si>
  <si>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</si>
  <si>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</si>
  <si>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</si>
  <si>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</si>
  <si>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</si>
  <si>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</si>
  <si>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</si>
  <si>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</si>
  <si>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</si>
  <si>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</si>
  <si>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</si>
  <si>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</si>
  <si>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</si>
  <si>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</si>
  <si>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</si>
  <si>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</si>
  <si>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</si>
  <si>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</si>
  <si>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</si>
  <si>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</si>
  <si>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</si>
  <si>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</si>
  <si>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</si>
  <si>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</si>
  <si>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</si>
  <si>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</si>
  <si>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</si>
  <si>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</si>
  <si>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</si>
  <si>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</si>
  <si>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</si>
  <si>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</si>
  <si>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</si>
  <si>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</si>
  <si>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</si>
  <si>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</si>
  <si>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</si>
  <si>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</si>
  <si>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</si>
  <si>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</si>
  <si>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</si>
  <si>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</si>
  <si>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</si>
  <si>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</si>
  <si>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</si>
  <si>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</si>
  <si>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</si>
  <si>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</si>
  <si>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</si>
  <si>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</si>
  <si>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</si>
  <si>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</si>
  <si>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</si>
  <si>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</si>
  <si>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</si>
  <si>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</si>
  <si>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</si>
  <si>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</si>
  <si>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</si>
  <si>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</si>
  <si>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</si>
  <si>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</si>
  <si>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</si>
  <si>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</si>
  <si>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</si>
  <si>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</si>
  <si>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</si>
  <si>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</si>
  <si>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</si>
  <si>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</si>
  <si>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</si>
  <si>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</si>
  <si>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</si>
  <si>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</si>
  <si>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</si>
  <si>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</si>
  <si>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</si>
  <si>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</si>
  <si>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</si>
  <si>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</si>
  <si>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</si>
  <si>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</si>
  <si>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</si>
  <si>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</si>
  <si>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</si>
  <si>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</si>
  <si>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</si>
  <si>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</si>
  <si>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</si>
  <si>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</si>
  <si>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</si>
  <si>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</si>
  <si>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</si>
  <si>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</si>
  <si>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</si>
  <si>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</si>
  <si>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</si>
  <si>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</si>
  <si>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</si>
  <si>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</si>
  <si>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</si>
  <si>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</si>
  <si>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</si>
  <si>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</si>
  <si>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</si>
  <si>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</si>
  <si>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</si>
  <si>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</si>
  <si>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</si>
  <si>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</si>
  <si>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</si>
  <si>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</si>
  <si>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</si>
  <si>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</si>
  <si>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</si>
  <si>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</si>
  <si>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</si>
  <si>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</si>
  <si>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</si>
  <si>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</si>
  <si>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</si>
  <si>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</si>
  <si>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</si>
  <si>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</si>
  <si>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</si>
  <si>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</si>
  <si>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</si>
  <si>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</si>
  <si>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</si>
  <si>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</si>
  <si>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</si>
  <si>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</si>
  <si>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</si>
  <si>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</si>
  <si>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</si>
  <si>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</si>
  <si>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</si>
  <si>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</si>
  <si>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</si>
  <si>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</si>
  <si>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</si>
  <si>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</si>
  <si>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</si>
  <si>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</si>
  <si>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</si>
  <si>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</si>
  <si>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</si>
  <si>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</si>
  <si>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</si>
  <si>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</si>
  <si>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</si>
  <si>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</si>
  <si>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</si>
  <si>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</si>
  <si>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</si>
  <si>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</si>
  <si>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</si>
  <si>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</si>
  <si>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</si>
  <si>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</si>
  <si>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</si>
  <si>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</si>
  <si>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</si>
  <si>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</si>
  <si>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</si>
  <si>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</si>
  <si>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</si>
  <si>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</si>
  <si>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</si>
  <si>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</si>
  <si>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</si>
  <si>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</si>
  <si>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</si>
  <si>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</si>
  <si>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</si>
  <si>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</si>
  <si>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</si>
  <si>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</si>
  <si>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</si>
  <si>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</si>
  <si>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</si>
  <si>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</si>
  <si>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</si>
  <si>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</si>
  <si>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</si>
  <si>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</si>
  <si>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</si>
  <si>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</si>
  <si>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</si>
  <si>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</si>
  <si>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</si>
  <si>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</si>
  <si>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</si>
  <si>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</si>
  <si>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</si>
  <si>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</si>
  <si>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</si>
  <si>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</si>
  <si>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</si>
  <si>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</si>
  <si>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</si>
  <si>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</si>
  <si>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</si>
  <si>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</si>
  <si>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</si>
  <si>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</si>
  <si>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</si>
  <si>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</si>
  <si>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</si>
  <si>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</si>
  <si>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</si>
  <si>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</si>
  <si>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</si>
  <si>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</si>
  <si>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</si>
  <si>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</si>
  <si>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</si>
  <si>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</si>
  <si>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</si>
  <si>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</si>
  <si>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</si>
  <si>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</si>
  <si>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</si>
  <si>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</si>
  <si>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</si>
  <si>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</si>
  <si>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</si>
  <si>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</si>
  <si>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</si>
  <si>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</si>
  <si>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</si>
  <si>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</si>
  <si>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</si>
  <si>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</si>
  <si>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</si>
  <si>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</si>
  <si>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</si>
  <si>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</si>
  <si>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</si>
  <si>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</si>
  <si>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</si>
  <si>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</si>
  <si>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</si>
  <si>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</si>
  <si>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</si>
  <si>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</si>
  <si>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</si>
  <si>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</si>
  <si>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</si>
  <si>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</si>
  <si>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</si>
  <si>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</si>
  <si>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</si>
  <si>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</si>
  <si>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</si>
  <si>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</si>
  <si>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</si>
  <si>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</si>
  <si>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</si>
  <si>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</si>
  <si>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</si>
  <si>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</si>
  <si>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</si>
  <si>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</si>
  <si>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</si>
  <si>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</si>
  <si>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</si>
  <si>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</si>
  <si>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</si>
  <si>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</si>
  <si>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</si>
  <si>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</si>
  <si>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</si>
  <si>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</si>
  <si>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</si>
  <si>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</si>
  <si>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</si>
  <si>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</si>
  <si>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</si>
  <si>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</si>
  <si>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</si>
  <si>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</si>
  <si>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</si>
  <si>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</si>
  <si>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</si>
  <si>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</si>
  <si>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</si>
  <si>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</si>
  <si>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</si>
  <si>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</si>
  <si>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</si>
  <si>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</si>
  <si>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</si>
  <si>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</si>
  <si>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</si>
  <si>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</si>
  <si>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</si>
  <si>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</si>
  <si>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</si>
  <si>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</si>
  <si>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</si>
  <si>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</si>
  <si>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</si>
  <si>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</si>
  <si>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</si>
  <si>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</si>
  <si>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</si>
  <si>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</si>
  <si>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</si>
  <si>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</si>
  <si>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</si>
  <si>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</si>
  <si>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</si>
  <si>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</si>
  <si>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</si>
  <si>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</si>
  <si>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</si>
  <si>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</si>
  <si>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</si>
  <si>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</si>
  <si>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</si>
  <si>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</si>
  <si>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</si>
  <si>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</si>
  <si>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</si>
  <si>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</si>
  <si>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</si>
  <si>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</si>
  <si>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</si>
  <si>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</si>
  <si>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</si>
  <si>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</si>
  <si>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</si>
  <si>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</si>
  <si>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</si>
  <si>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</si>
  <si>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</si>
  <si>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</si>
  <si>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</si>
  <si>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</si>
  <si>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</si>
  <si>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</si>
  <si>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</si>
  <si>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</si>
  <si>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</si>
  <si>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</si>
  <si>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</si>
  <si>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</si>
  <si>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</si>
  <si>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</si>
  <si>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</si>
  <si>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</si>
  <si>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</si>
  <si>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</si>
  <si>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</si>
  <si>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</si>
  <si>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</si>
  <si>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</si>
  <si>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</si>
  <si>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</si>
  <si>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</si>
  <si>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</si>
  <si>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</si>
  <si>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</si>
  <si>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</si>
  <si>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</si>
  <si>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</si>
  <si>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</si>
  <si>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</si>
  <si>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</si>
  <si>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</si>
  <si>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</si>
  <si>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</si>
  <si>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</si>
  <si>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</si>
  <si>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</si>
  <si>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</si>
  <si>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</si>
  <si>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</si>
  <si>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</si>
  <si>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</si>
  <si>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</si>
  <si>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</si>
  <si>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</si>
  <si>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</si>
  <si>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</si>
  <si>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</si>
  <si>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</si>
  <si>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</si>
  <si>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</si>
  <si>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</si>
  <si>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</si>
  <si>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</si>
  <si>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</si>
  <si>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</si>
  <si>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</si>
  <si>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</si>
  <si>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</si>
  <si>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</si>
  <si>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</si>
  <si>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</si>
  <si>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</si>
  <si>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</si>
  <si>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</si>
  <si>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</si>
  <si>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</si>
  <si>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</si>
  <si>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</si>
  <si>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</si>
  <si>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</si>
  <si>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</si>
  <si>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</si>
  <si>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</si>
  <si>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</si>
  <si>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</si>
  <si>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</si>
  <si>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</si>
  <si>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</si>
  <si>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</si>
  <si>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</si>
  <si>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</si>
  <si>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</si>
  <si>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</si>
  <si>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</si>
  <si>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</si>
  <si>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</si>
  <si>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</si>
  <si>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</si>
  <si>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</si>
  <si>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</si>
  <si>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</si>
  <si>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</si>
  <si>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</si>
  <si>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</si>
  <si>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</si>
  <si>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</si>
  <si>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</si>
  <si>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</si>
  <si>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</si>
  <si>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</si>
  <si>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</si>
  <si>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</si>
  <si>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</si>
  <si>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</si>
  <si>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</si>
  <si>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</si>
  <si>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</si>
  <si>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</si>
  <si>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</si>
  <si>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</si>
  <si>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</si>
  <si>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</si>
  <si>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</si>
  <si>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</si>
  <si>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</si>
  <si>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</si>
  <si>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</si>
  <si>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</si>
  <si>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</si>
  <si>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</si>
  <si>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</si>
  <si>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</si>
  <si>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</si>
  <si>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</si>
  <si>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</si>
  <si>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</si>
  <si>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CIUDAD REAL</t>
  </si>
  <si>
    <t>Resumenes por Partidos Judiciales</t>
  </si>
  <si>
    <t>VALDEPEÑAS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</si>
</sst>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qjd8q5wY+3fs3mlEr8Q5xVRVRQ9pjJDa2UOz6/OQBVNYSPowKTPe/1aBOvlYciln6qEjbfKphVK3pHGDIaYg==" saltValue="ZmTGldzwJ4K0wnx/4vFc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23</v>
      </c>
      <c r="D10" s="239">
        <f>IF(ISNUMBER(Datos!I10),Datos!I10," - ")</f>
        <v>23</v>
      </c>
      <c r="E10" s="240">
        <f>IF(ISNUMBER(Datos!J10),Datos!J10," - ")</f>
        <v>37</v>
      </c>
      <c r="F10" s="240">
        <f>IF(ISNUMBER(Datos!K10),Datos!K10," - ")</f>
        <v>31</v>
      </c>
      <c r="G10" s="1390" t="str">
        <f>IF(Datos!E10&lt;&gt;"",Datos!E10,Datos!D10)</f>
        <v>37</v>
      </c>
      <c r="H10" s="241">
        <f>IF(ISNUMBER(Datos!L10),Datos!L10," - ")</f>
        <v>29</v>
      </c>
      <c r="I10" s="1400" t="str">
        <f>IF(ISNUMBER(Datos!AS10/Datos!BM10),Datos!AS10/Datos!BM10," - ")</f>
        <v xml:space="preserve"> - </v>
      </c>
      <c r="J10" s="1401">
        <f>IF(ISNUMBER(Datos!BY10/Datos!CN10),Datos!BY10/Datos!CN10," - ")</f>
        <v>0</v>
      </c>
      <c r="K10" s="244">
        <f t="shared" ref="K10:K13" si="1">IF(ISNUMBER((E10-F10)/C10),(E10-F10)/C10," - ")</f>
        <v>0.2608695652173913</v>
      </c>
      <c r="L10" s="1402">
        <f>IF(ISNUMBER(NºAsuntos!I10/NºAsuntos!G10),(NºAsuntos!I10/NºAsuntos!G10)*11," - ")</f>
        <v>10.29032258064516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14.600278551532032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23</v>
      </c>
      <c r="D14" s="1407">
        <f>SUBTOTAL(9,D9:D13)</f>
        <v>23</v>
      </c>
      <c r="E14" s="1408">
        <f>SUBTOTAL(9,E9:E13)</f>
        <v>37</v>
      </c>
      <c r="F14" s="1409">
        <f>SUBTOTAL(9,F9:F13)</f>
        <v>31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908</v>
      </c>
      <c r="D17" s="239">
        <f>IF(ISNUMBER(IF(D_I="SI",Datos!I17,Datos!I17+Datos!AC17)),IF(D_I="SI",Datos!I17,Datos!I17+Datos!AC17)," - ")</f>
        <v>878</v>
      </c>
      <c r="E17" s="240">
        <f>IF(ISNUMBER(IF(D_I="SI",Datos!J17,Datos!J17+Datos!AD17)),IF(D_I="SI",Datos!J17,Datos!J17+Datos!AD17)," - ")</f>
        <v>1627</v>
      </c>
      <c r="F17" s="240">
        <f>IF(ISNUMBER(IF(D_I="SI",Datos!K17,Datos!K17+Datos!AE17)),IF(D_I="SI",Datos!K17,Datos!K17+Datos!AE17)," - ")</f>
        <v>1523</v>
      </c>
      <c r="G17" s="1390" t="str">
        <f>IF(Datos!E17&lt;&gt;"",Datos!E17,Datos!D17)</f>
        <v>04</v>
      </c>
      <c r="H17" s="241">
        <f>IF(ISNUMBER(IF(D_I="SI",Datos!L17,Datos!L17+Datos!AF17)),IF(D_I="SI",Datos!L17,Datos!L17+Datos!AF17)," - ")</f>
        <v>1012</v>
      </c>
      <c r="I17" s="1400" t="str">
        <f>IF(ISNUMBER(Datos!AS17/Datos!BM17),Datos!AS17/Datos!BM17," - ")</f>
        <v xml:space="preserve"> - </v>
      </c>
      <c r="J17" s="1401">
        <f>IF(ISNUMBER(Datos!BY17/Datos!CN17),Datos!BY17/Datos!CN17," - ")</f>
        <v>0</v>
      </c>
      <c r="K17" s="244">
        <f t="shared" si="3"/>
        <v>0.11453744493392071</v>
      </c>
      <c r="L17" s="1402">
        <f>IF(ISNUMBER(NºAsuntos!I17/NºAsuntos!G17),(NºAsuntos!I17/NºAsuntos!G17)*11," - ")</f>
        <v>7.3092580433355216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82</v>
      </c>
      <c r="D18" s="239">
        <f>IF(ISNUMBER(IF(D_I="SI",Datos!I18,Datos!I18+Datos!AC18)),IF(D_I="SI",Datos!I18,Datos!I18+Datos!AC18)," - ")</f>
        <v>81</v>
      </c>
      <c r="E18" s="240">
        <f>IF(ISNUMBER(IF(D_I="SI",Datos!J18,Datos!J18+Datos!AD18)),IF(D_I="SI",Datos!J18,Datos!J18+Datos!AD18)," - ")</f>
        <v>286</v>
      </c>
      <c r="F18" s="240">
        <f>IF(ISNUMBER(IF(D_I="SI",Datos!K18,Datos!K18+Datos!AE18)),IF(D_I="SI",Datos!K18,Datos!K18+Datos!AE18)," - ")</f>
        <v>252</v>
      </c>
      <c r="G18" s="1390" t="str">
        <f>IF(Datos!E18&lt;&gt;"",Datos!E18,Datos!D18)</f>
        <v>37</v>
      </c>
      <c r="H18" s="241">
        <f>IF(ISNUMBER(IF(D_I="SI",Datos!L18,Datos!L18+Datos!AF18)),IF(D_I="SI",Datos!L18,Datos!L18+Datos!AF18)," - ")</f>
        <v>116</v>
      </c>
      <c r="I18" s="1400" t="str">
        <f>IF(ISNUMBER(Datos!AS18/Datos!BM18),Datos!AS18/Datos!BM18," - ")</f>
        <v xml:space="preserve"> - </v>
      </c>
      <c r="J18" s="1401" t="str">
        <f>IF(ISNUMBER((Datos!BY18+Datos!BZ18)/Datos!CN18),(Datos!BY18+Datos!BZ18)/Datos!CN18," - ")</f>
        <v xml:space="preserve"> - </v>
      </c>
      <c r="K18" s="244">
        <f t="shared" si="3"/>
        <v>0.41463414634146339</v>
      </c>
      <c r="L18" s="1402">
        <f>IF(ISNUMBER(NºAsuntos!I18/NºAsuntos!G18),(NºAsuntos!I18/NºAsuntos!G18)*11," - ")</f>
        <v>5.0634920634920633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990</v>
      </c>
      <c r="D23" s="1407">
        <f>SUBTOTAL(9,D16:D22)</f>
        <v>959</v>
      </c>
      <c r="E23" s="1408">
        <f>SUBTOTAL(9,E16:E22)</f>
        <v>1913</v>
      </c>
      <c r="F23" s="1408">
        <f>SUBTOTAL(9,F16:F22)</f>
        <v>1775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1013</v>
      </c>
      <c r="D31" s="1435">
        <f>SUBTOTAL(9,D9:D30)</f>
        <v>982</v>
      </c>
      <c r="E31" s="1436">
        <f>SUBTOTAL(9,E9:E30)</f>
        <v>1950</v>
      </c>
      <c r="F31" s="1436">
        <f>SUBTOTAL(9,F9:F30)</f>
        <v>1806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Lj2E4t2WRtnB6JSRppmLAXaNPJXCK9+BZT77MmNf8bZdwi3E2rB/ULKu7r6hVuSSNVsxVAT8VkU4uJYjvtGigA==" saltValue="MbbmWHqn6dYNhNjXuW6bG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eFRf5UP7thG4q/CpG3EtrcFORqzvmOunZFqcQsQa5BYsgliQs8TVw92Tp2OJKfe4hYkHgp6FSAvzvujQnEORg==" saltValue="eML7LWDe2uPbUGqw2SIn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23</v>
      </c>
      <c r="J10" s="194">
        <v>37</v>
      </c>
      <c r="K10" s="194">
        <v>31</v>
      </c>
      <c r="L10" s="194">
        <v>29</v>
      </c>
      <c r="M10" s="194">
        <v>11</v>
      </c>
      <c r="N10" s="194">
        <v>10</v>
      </c>
      <c r="O10" s="194">
        <v>4</v>
      </c>
      <c r="P10" s="194">
        <v>1</v>
      </c>
      <c r="Q10" s="194">
        <v>0</v>
      </c>
      <c r="R10" s="194">
        <v>1</v>
      </c>
      <c r="S10" s="194">
        <v>23</v>
      </c>
      <c r="T10" s="194">
        <v>22</v>
      </c>
      <c r="U10" s="194">
        <v>22</v>
      </c>
      <c r="V10" s="194">
        <v>23</v>
      </c>
      <c r="W10" s="194">
        <v>8</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23</v>
      </c>
      <c r="AZ10" s="139">
        <f t="shared" si="0"/>
        <v>22</v>
      </c>
      <c r="BA10" s="139">
        <f t="shared" si="0"/>
        <v>22</v>
      </c>
      <c r="BB10" s="139">
        <f t="shared" si="0"/>
        <v>23</v>
      </c>
      <c r="BC10" s="135">
        <f t="shared" si="0"/>
        <v>8</v>
      </c>
      <c r="BD10" s="136">
        <f>IF(ISNUMBER(BA10/AZ10),BA10/AZ10," - ")</f>
        <v>1</v>
      </c>
      <c r="BE10" s="137">
        <f>IF(ISNUMBER(BB10/BA10),BB10/BA10, " - ")</f>
        <v>1.0454545454545454</v>
      </c>
      <c r="BF10" s="137">
        <f>IF(ISNUMBER(BC10/BA10),BC10/BA10, " - ")</f>
        <v>0.36363636363636365</v>
      </c>
      <c r="BG10" s="209">
        <f>IF(ISNUMBER((AY10+AZ10)/BA10),(AY10+AZ10)/BA10," - ")</f>
        <v>2.0454545454545454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1430</v>
      </c>
      <c r="J12" s="196">
        <v>1734</v>
      </c>
      <c r="K12" s="196">
        <v>1311</v>
      </c>
      <c r="L12" s="196">
        <v>1853</v>
      </c>
      <c r="M12" s="196">
        <v>376</v>
      </c>
      <c r="N12" s="196">
        <v>551</v>
      </c>
      <c r="O12" s="194">
        <v>576</v>
      </c>
      <c r="P12" s="196">
        <v>377</v>
      </c>
      <c r="Q12" s="196">
        <v>233</v>
      </c>
      <c r="R12" s="196">
        <v>2257</v>
      </c>
      <c r="S12" s="196">
        <v>1775</v>
      </c>
      <c r="T12" s="196">
        <v>1473</v>
      </c>
      <c r="U12" s="196">
        <v>1424</v>
      </c>
      <c r="V12" s="196">
        <v>1430</v>
      </c>
      <c r="W12" s="196">
        <v>376</v>
      </c>
      <c r="X12" s="202">
        <v>603</v>
      </c>
      <c r="Y12" s="204">
        <v>46</v>
      </c>
      <c r="Z12" s="194">
        <v>130</v>
      </c>
      <c r="AA12" s="194">
        <v>125</v>
      </c>
      <c r="AB12" s="194">
        <v>53</v>
      </c>
      <c r="AC12" s="196">
        <v>0</v>
      </c>
      <c r="AD12" s="196">
        <v>0</v>
      </c>
      <c r="AE12" s="196">
        <v>0</v>
      </c>
      <c r="AF12" s="202">
        <v>0</v>
      </c>
      <c r="AG12" s="215">
        <v>56</v>
      </c>
      <c r="AH12" s="196">
        <v>99</v>
      </c>
      <c r="AI12" s="196">
        <v>100</v>
      </c>
      <c r="AJ12" s="216">
        <v>46</v>
      </c>
      <c r="AK12" s="195">
        <v>0</v>
      </c>
      <c r="AL12" s="196">
        <v>0</v>
      </c>
      <c r="AM12" s="196">
        <v>0</v>
      </c>
      <c r="AN12" s="202">
        <v>0</v>
      </c>
      <c r="AO12" s="283">
        <v>2</v>
      </c>
      <c r="AP12" s="168">
        <v>2</v>
      </c>
      <c r="AQ12" s="168">
        <v>2</v>
      </c>
      <c r="AR12" s="167">
        <v>2</v>
      </c>
      <c r="AS12" s="381" t="s">
        <v>1075</v>
      </c>
      <c r="AT12" s="216"/>
      <c r="AU12" s="215"/>
      <c r="AV12" s="216"/>
      <c r="AW12" s="215"/>
      <c r="AX12" s="216"/>
      <c r="AY12" s="136">
        <f t="shared" si="1"/>
        <v>1831</v>
      </c>
      <c r="AZ12" s="137">
        <f t="shared" si="1"/>
        <v>1572</v>
      </c>
      <c r="BA12" s="137">
        <f t="shared" si="1"/>
        <v>1524</v>
      </c>
      <c r="BB12" s="137">
        <f t="shared" si="1"/>
        <v>1476</v>
      </c>
      <c r="BC12" s="135">
        <f>IF(ISNUMBER(X12),X12," - ")</f>
        <v>603</v>
      </c>
      <c r="BD12" s="136">
        <f t="shared" si="2"/>
        <v>0.96946564885496178</v>
      </c>
      <c r="BE12" s="137">
        <f t="shared" si="3"/>
        <v>0.96850393700787396</v>
      </c>
      <c r="BF12" s="137">
        <f t="shared" si="4"/>
        <v>0.3956692913385827</v>
      </c>
      <c r="BG12" s="209">
        <f t="shared" si="5"/>
        <v>2.2329396325459316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1453</v>
      </c>
      <c r="J14" s="197">
        <f t="shared" si="7"/>
        <v>1771</v>
      </c>
      <c r="K14" s="197">
        <f t="shared" si="7"/>
        <v>1342</v>
      </c>
      <c r="L14" s="197">
        <f t="shared" si="7"/>
        <v>1882</v>
      </c>
      <c r="M14" s="197">
        <f t="shared" si="7"/>
        <v>387</v>
      </c>
      <c r="N14" s="197">
        <f t="shared" si="7"/>
        <v>561</v>
      </c>
      <c r="O14" s="197">
        <f t="shared" si="7"/>
        <v>580</v>
      </c>
      <c r="P14" s="197">
        <f t="shared" si="7"/>
        <v>378</v>
      </c>
      <c r="Q14" s="197">
        <f t="shared" si="7"/>
        <v>233</v>
      </c>
      <c r="R14" s="197">
        <f t="shared" si="7"/>
        <v>2258</v>
      </c>
      <c r="S14" s="197">
        <f t="shared" si="7"/>
        <v>1798</v>
      </c>
      <c r="T14" s="197">
        <f t="shared" si="7"/>
        <v>1495</v>
      </c>
      <c r="U14" s="197">
        <f t="shared" si="7"/>
        <v>1446</v>
      </c>
      <c r="V14" s="197">
        <f t="shared" si="7"/>
        <v>1453</v>
      </c>
      <c r="W14" s="197">
        <f t="shared" si="7"/>
        <v>384</v>
      </c>
      <c r="X14" s="197">
        <f t="shared" si="7"/>
        <v>611</v>
      </c>
      <c r="Y14" s="197">
        <f t="shared" si="7"/>
        <v>46</v>
      </c>
      <c r="Z14" s="197">
        <f t="shared" si="7"/>
        <v>130</v>
      </c>
      <c r="AA14" s="197">
        <f t="shared" si="7"/>
        <v>125</v>
      </c>
      <c r="AB14" s="197">
        <f t="shared" si="7"/>
        <v>53</v>
      </c>
      <c r="AC14" s="197">
        <f t="shared" si="7"/>
        <v>0</v>
      </c>
      <c r="AD14" s="197">
        <f t="shared" si="7"/>
        <v>0</v>
      </c>
      <c r="AE14" s="197">
        <f t="shared" si="7"/>
        <v>0</v>
      </c>
      <c r="AF14" s="197">
        <f>SUBTOTAL(9,AF9:AF13)</f>
        <v>0</v>
      </c>
      <c r="AG14" s="197">
        <f t="shared" ref="AG14:AT14" si="8">SUBTOTAL(9,AG8:AG13)</f>
        <v>56</v>
      </c>
      <c r="AH14" s="197">
        <f t="shared" si="8"/>
        <v>99</v>
      </c>
      <c r="AI14" s="197">
        <f t="shared" si="8"/>
        <v>100</v>
      </c>
      <c r="AJ14" s="197">
        <f t="shared" si="8"/>
        <v>46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1854</v>
      </c>
      <c r="AZ14" s="197">
        <f>SUBTOTAL(9,AZ8:AZ13)</f>
        <v>1594</v>
      </c>
      <c r="BA14" s="197">
        <f>SUBTOTAL(9,BA8:BA13)</f>
        <v>1546</v>
      </c>
      <c r="BB14" s="197">
        <f>SUBTOTAL(9,BB8:BB13)</f>
        <v>1499</v>
      </c>
      <c r="BC14" s="197">
        <f>SUBTOTAL(9,BC8:BC13)</f>
        <v>611</v>
      </c>
      <c r="BD14" s="219">
        <f>IF(ISNUMBER(BA14/AZ14),BA14/AZ14," - ")</f>
        <v>0.96988707653701378</v>
      </c>
      <c r="BE14" s="220">
        <f>IF(ISNUMBER(BB14/BA14),BB14/BA14, " - ")</f>
        <v>0.9695989650711514</v>
      </c>
      <c r="BF14" s="220">
        <f>IF(ISNUMBER(BC14/BA14),BC14/BA14, " - ")</f>
        <v>0.39521345407503233</v>
      </c>
      <c r="BG14" s="221">
        <f>IF(ISNUMBER((AY14+AZ14)/BA14),(AY14+AZ14)/BA14," - ")</f>
        <v>2.2302716688227684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878</v>
      </c>
      <c r="J17" s="196">
        <v>1627</v>
      </c>
      <c r="K17" s="196">
        <v>1523</v>
      </c>
      <c r="L17" s="196">
        <v>1012</v>
      </c>
      <c r="M17" s="196">
        <v>260</v>
      </c>
      <c r="N17" s="196">
        <v>876</v>
      </c>
      <c r="O17" s="194">
        <v>0</v>
      </c>
      <c r="P17" s="196">
        <v>83</v>
      </c>
      <c r="Q17" s="196">
        <v>65</v>
      </c>
      <c r="R17" s="196">
        <v>116</v>
      </c>
      <c r="S17" s="196">
        <v>829</v>
      </c>
      <c r="T17" s="196">
        <v>1451</v>
      </c>
      <c r="U17" s="196">
        <v>1369</v>
      </c>
      <c r="V17" s="196">
        <v>878</v>
      </c>
      <c r="W17" s="196">
        <v>239</v>
      </c>
      <c r="X17" s="202">
        <v>661</v>
      </c>
      <c r="Y17" s="215">
        <v>0</v>
      </c>
      <c r="Z17" s="196">
        <v>0</v>
      </c>
      <c r="AA17" s="196">
        <v>0</v>
      </c>
      <c r="AB17" s="196">
        <v>0</v>
      </c>
      <c r="AC17" s="196">
        <v>0</v>
      </c>
      <c r="AD17" s="196">
        <v>1</v>
      </c>
      <c r="AE17" s="196">
        <v>1</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829</v>
      </c>
      <c r="AZ17" s="137">
        <f t="shared" si="10"/>
        <v>1451</v>
      </c>
      <c r="BA17" s="137">
        <f t="shared" si="10"/>
        <v>1369</v>
      </c>
      <c r="BB17" s="137">
        <f t="shared" si="10"/>
        <v>878</v>
      </c>
      <c r="BC17" s="135">
        <f>IF(ISNUMBER(W17),W17," - ")</f>
        <v>239</v>
      </c>
      <c r="BD17" s="136">
        <f t="shared" ref="BD17:BD22" si="12">IF(ISNUMBER(BA17/AZ17),BA17/AZ17," - ")</f>
        <v>0.94348725017229496</v>
      </c>
      <c r="BE17" s="137">
        <f t="shared" ref="BE17:BE22" si="13">IF(ISNUMBER(BB17/BA17),BB17/BA17, " - ")</f>
        <v>0.64134404674945211</v>
      </c>
      <c r="BF17" s="137">
        <f t="shared" ref="BF17:BF22" si="14">IF(ISNUMBER(BC17/BA17),BC17/BA17, " - ")</f>
        <v>0.17457998539079619</v>
      </c>
      <c r="BG17" s="209">
        <f t="shared" si="11"/>
        <v>1.6654492330168005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81</v>
      </c>
      <c r="J18" s="196">
        <v>286</v>
      </c>
      <c r="K18" s="196">
        <v>252</v>
      </c>
      <c r="L18" s="196">
        <v>116</v>
      </c>
      <c r="M18" s="196">
        <v>41</v>
      </c>
      <c r="N18" s="196">
        <v>130</v>
      </c>
      <c r="O18" s="196">
        <v>0</v>
      </c>
      <c r="P18" s="196">
        <v>2</v>
      </c>
      <c r="Q18" s="196">
        <v>4</v>
      </c>
      <c r="R18" s="196">
        <v>0</v>
      </c>
      <c r="S18" s="196">
        <v>62</v>
      </c>
      <c r="T18" s="196">
        <v>204</v>
      </c>
      <c r="U18" s="196">
        <v>197</v>
      </c>
      <c r="V18" s="196">
        <v>81</v>
      </c>
      <c r="W18" s="196">
        <v>18</v>
      </c>
      <c r="X18" s="202">
        <v>123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62</v>
      </c>
      <c r="AZ18" s="139">
        <f t="shared" si="15"/>
        <v>204</v>
      </c>
      <c r="BA18" s="139">
        <f t="shared" si="15"/>
        <v>197</v>
      </c>
      <c r="BB18" s="139">
        <f t="shared" si="15"/>
        <v>81</v>
      </c>
      <c r="BC18" s="135">
        <f>IF(ISNUMBER(W18),W18," - ")</f>
        <v>18</v>
      </c>
      <c r="BD18" s="136">
        <f>IF(ISNUMBER(BA18/AZ18),BA18/AZ18," - ")</f>
        <v>0.96568627450980393</v>
      </c>
      <c r="BE18" s="137">
        <f>IF(ISNUMBER(BB18/BA18),BB18/BA18, " - ")</f>
        <v>0.41116751269035534</v>
      </c>
      <c r="BF18" s="137">
        <f>IF(ISNUMBER(BC18/BA18),BC18/BA18, " - ")</f>
        <v>9.1370558375634514E-2</v>
      </c>
      <c r="BG18" s="209">
        <f>IF(ISNUMBER((AY18+AZ18)/BA18),(AY18+AZ18)/BA18," - ")</f>
        <v>1.350253807106599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959</v>
      </c>
      <c r="J23" s="197">
        <f t="shared" si="21"/>
        <v>1913</v>
      </c>
      <c r="K23" s="197">
        <f t="shared" si="21"/>
        <v>1775</v>
      </c>
      <c r="L23" s="197">
        <f t="shared" si="21"/>
        <v>1128</v>
      </c>
      <c r="M23" s="197">
        <f t="shared" si="21"/>
        <v>301</v>
      </c>
      <c r="N23" s="197">
        <f t="shared" si="21"/>
        <v>1006</v>
      </c>
      <c r="O23" s="197">
        <f t="shared" si="21"/>
        <v>0</v>
      </c>
      <c r="P23" s="197">
        <f t="shared" si="21"/>
        <v>85</v>
      </c>
      <c r="Q23" s="197">
        <f t="shared" si="21"/>
        <v>69</v>
      </c>
      <c r="R23" s="197">
        <f t="shared" si="21"/>
        <v>116</v>
      </c>
      <c r="S23" s="197">
        <f t="shared" si="21"/>
        <v>891</v>
      </c>
      <c r="T23" s="197">
        <f t="shared" si="21"/>
        <v>1655</v>
      </c>
      <c r="U23" s="197">
        <f t="shared" si="21"/>
        <v>1566</v>
      </c>
      <c r="V23" s="197">
        <f t="shared" si="21"/>
        <v>959</v>
      </c>
      <c r="W23" s="197">
        <f t="shared" si="21"/>
        <v>257</v>
      </c>
      <c r="X23" s="197">
        <f t="shared" si="21"/>
        <v>784</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891</v>
      </c>
      <c r="AZ23" s="197">
        <f>SUBTOTAL(9,AZ15:AZ22)</f>
        <v>1655</v>
      </c>
      <c r="BA23" s="197">
        <f>SUBTOTAL(9,BA15:BA22)</f>
        <v>1566</v>
      </c>
      <c r="BB23" s="197">
        <f>SUBTOTAL(9,BB15:BB22)</f>
        <v>959</v>
      </c>
      <c r="BC23" s="197">
        <f>SUBTOTAL(9,BC15:BC22)</f>
        <v>257</v>
      </c>
      <c r="BD23" s="219">
        <f>IF(ISNUMBER(BA23/AZ23),BA23/AZ23," - ")</f>
        <v>0.94622356495468274</v>
      </c>
      <c r="BE23" s="220">
        <f>IF(ISNUMBER(BB23/BA23),BB23/BA23, " - ")</f>
        <v>0.61238825031928479</v>
      </c>
      <c r="BF23" s="220">
        <f>IF(ISNUMBER(BC23/BA23),BC23/BA23, " - ")</f>
        <v>0.16411238825031929</v>
      </c>
      <c r="BG23" s="221">
        <f>IF(ISNUMBER((AY23+AZ23)/BA23),(AY23+AZ23)/BA23," - ")</f>
        <v>1.6257982120051087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2412</v>
      </c>
      <c r="J31" s="144">
        <f t="shared" si="36"/>
        <v>3684</v>
      </c>
      <c r="K31" s="144">
        <f t="shared" si="36"/>
        <v>3117</v>
      </c>
      <c r="L31" s="144">
        <f t="shared" si="36"/>
        <v>3010</v>
      </c>
      <c r="M31" s="144">
        <f t="shared" si="36"/>
        <v>688</v>
      </c>
      <c r="N31" s="144">
        <f t="shared" si="36"/>
        <v>1567</v>
      </c>
      <c r="O31" s="144">
        <f t="shared" si="36"/>
        <v>580</v>
      </c>
      <c r="P31" s="144">
        <f t="shared" si="36"/>
        <v>463</v>
      </c>
      <c r="Q31" s="144">
        <f t="shared" si="36"/>
        <v>302</v>
      </c>
      <c r="R31" s="144">
        <f t="shared" si="36"/>
        <v>2374</v>
      </c>
      <c r="S31" s="144">
        <f t="shared" si="36"/>
        <v>2689</v>
      </c>
      <c r="T31" s="144">
        <f t="shared" si="36"/>
        <v>3150</v>
      </c>
      <c r="U31" s="144">
        <f t="shared" si="36"/>
        <v>3012</v>
      </c>
      <c r="V31" s="144">
        <f t="shared" si="36"/>
        <v>2412</v>
      </c>
      <c r="W31" s="144">
        <f t="shared" si="36"/>
        <v>641</v>
      </c>
      <c r="X31" s="144">
        <f t="shared" si="36"/>
        <v>1395</v>
      </c>
      <c r="Y31" s="144">
        <f t="shared" si="36"/>
        <v>46</v>
      </c>
      <c r="Z31" s="144">
        <f t="shared" si="36"/>
        <v>130</v>
      </c>
      <c r="AA31" s="144">
        <f t="shared" si="36"/>
        <v>125</v>
      </c>
      <c r="AB31" s="144">
        <f t="shared" si="36"/>
        <v>53</v>
      </c>
      <c r="AC31" s="144">
        <f t="shared" si="36"/>
        <v>0</v>
      </c>
      <c r="AD31" s="144">
        <f t="shared" si="36"/>
        <v>1</v>
      </c>
      <c r="AE31" s="144">
        <f t="shared" si="36"/>
        <v>1</v>
      </c>
      <c r="AF31" s="144">
        <f t="shared" si="36"/>
        <v>0</v>
      </c>
      <c r="AG31" s="144">
        <f t="shared" si="36"/>
        <v>56</v>
      </c>
      <c r="AH31" s="144">
        <f t="shared" si="36"/>
        <v>99</v>
      </c>
      <c r="AI31" s="144">
        <f t="shared" si="36"/>
        <v>100</v>
      </c>
      <c r="AJ31" s="144">
        <f t="shared" si="36"/>
        <v>46</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2745</v>
      </c>
      <c r="AZ31" s="144">
        <f>SUBTOTAL(9,AZ9:AZ30)</f>
        <v>3249</v>
      </c>
      <c r="BA31" s="144">
        <f>SUBTOTAL(9,BA9:BA30)</f>
        <v>3112</v>
      </c>
      <c r="BB31" s="144">
        <f>SUBTOTAL(9,BB9:BB30)</f>
        <v>2458</v>
      </c>
      <c r="BC31" s="145">
        <f>SUBTOTAL(9,BC9:BC30)</f>
        <v>868</v>
      </c>
      <c r="BD31" s="227">
        <f>IF(ISNUMBER(BA31/AZ31),BA31/AZ31," - ")</f>
        <v>0.9578331794398276</v>
      </c>
      <c r="BE31" s="224">
        <f>IF(ISNUMBER(BB31/BA31),BB31/BA31, " - ")</f>
        <v>0.78984575835475579</v>
      </c>
      <c r="BF31" s="224">
        <f>IF(ISNUMBER(BC31/BA31),BC31/BA31, " - ")</f>
        <v>0.27892030848329047</v>
      </c>
      <c r="BG31" s="145">
        <f>IF(ISNUMBER((AY31+AZ31)/BA31),(AY31+AZ31)/BA31," - ")</f>
        <v>1.9260925449871464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GXJMLl7M9sG9ToAoi7smph6lOwv++0KNoFBIBn/63NyqazgAKMkuzAabeMMqQZ82Nb64i8PksE9TfLZ9w8Hxg==" saltValue="6ZBfvljhl/b10u7Aj9N2r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S0w1oMR/ck4fgirwlKE0e+2/j72gA1/iG2z72A2TCx5ndrbWTIbtxAm/2gArQQA4fcY/K1rdDg/0JxOWokSiw==" saltValue="I29oYfdSMrZzdyAmMF4v5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VALDEPEÑAS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23</v>
      </c>
      <c r="G10" s="543">
        <f>IF(ISNUMBER(Datos!I10),Datos!I10," - ")</f>
        <v>23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31</v>
      </c>
      <c r="AC10" s="547">
        <f>IF(ISNUMBER(Datos!Q10),Datos!Q10," - ")</f>
        <v>0</v>
      </c>
      <c r="AD10" s="549"/>
      <c r="AE10" s="563"/>
      <c r="AF10" s="551">
        <f>IF(ISNUMBER(Datos!L10),Datos!L10,"-")</f>
        <v>29</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10</v>
      </c>
      <c r="BE10" s="693" t="str">
        <f>IF(ISNUMBER(Datos!BW10),Datos!BW10," - ")</f>
        <v xml:space="preserve"> - </v>
      </c>
      <c r="BF10" s="762" t="str">
        <f>IF(ISNUMBER(Datos!BX10),Datos!BX10," - ")</f>
        <v xml:space="preserve"> - </v>
      </c>
      <c r="BG10" s="763">
        <f>IF(ISNUMBER(Datos!K10/Datos!J10),Datos!K10/Datos!J10," - ")</f>
        <v>0.83783783783783783</v>
      </c>
      <c r="BH10" s="764">
        <f>IF(ISNUMBER(((Datos!L10/Datos!K10)*11)/factor_trimestre),((Datos!L10/Datos!K10)*11)/factor_trimestre," - ")</f>
        <v>10.29032258064516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130</v>
      </c>
      <c r="O12" s="549"/>
      <c r="P12" s="549"/>
      <c r="Q12" s="547">
        <f>IF(ISNUMBER(Datos!P12),Datos!P12,0)</f>
        <v>377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233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53</v>
      </c>
      <c r="AI12" s="549" t="str">
        <f>IF(ISNUMBER(Datos!CD12),Datos!CD12,"-")</f>
        <v>-</v>
      </c>
      <c r="AJ12" s="549" t="str">
        <f>IF(ISNUMBER(Datos!EN12),Datos!EN12," - ")</f>
        <v xml:space="preserve"> - </v>
      </c>
      <c r="AK12" s="549"/>
      <c r="AL12" s="550"/>
      <c r="AM12" s="766">
        <f>IF(ISNUMBER(Datos!R12),Datos!R12," - ")</f>
        <v>2257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376</v>
      </c>
      <c r="BD12" s="693">
        <f>IF(ISNUMBER(Datos!N12),Datos!N12," - ")</f>
        <v>551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0.77038626609442062</v>
      </c>
      <c r="BH12" s="764">
        <f>IF(ISNUMBER(((IF(J_V="SI",Datos!L12/Datos!K12,(Datos!L12+Datos!AB12)/(Datos!K12+Datos!AA12)))*11)/factor_trimestre),((IF(J_V="SI",Datos!L12/Datos!K12,(Datos!L12+Datos!AB12)/(Datos!K12+Datos!AA12)))*11)/factor_trimestre," - ")</f>
        <v>14.600278551532032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6.814955040227165E-2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23</v>
      </c>
      <c r="G14" s="1197">
        <f t="shared" si="1"/>
        <v>23</v>
      </c>
      <c r="H14" s="1198">
        <f t="shared" si="1"/>
        <v>0</v>
      </c>
      <c r="I14" s="1197">
        <f t="shared" si="1"/>
        <v>0</v>
      </c>
      <c r="J14" s="1164">
        <f t="shared" si="1"/>
        <v>0</v>
      </c>
      <c r="K14" s="1164">
        <f t="shared" si="1"/>
        <v>0</v>
      </c>
      <c r="L14" s="1198">
        <f t="shared" si="1"/>
        <v>0</v>
      </c>
      <c r="M14" s="1198">
        <f t="shared" si="1"/>
        <v>0</v>
      </c>
      <c r="N14" s="1198">
        <f t="shared" si="1"/>
        <v>130</v>
      </c>
      <c r="O14" s="1199">
        <f t="shared" si="1"/>
        <v>0</v>
      </c>
      <c r="P14" s="1199">
        <f t="shared" si="1"/>
        <v>0</v>
      </c>
      <c r="Q14" s="1198">
        <f t="shared" si="1"/>
        <v>378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31</v>
      </c>
      <c r="AC14" s="1198">
        <f t="shared" si="2"/>
        <v>233</v>
      </c>
      <c r="AD14" s="1198">
        <f t="shared" si="2"/>
        <v>0</v>
      </c>
      <c r="AE14" s="1198">
        <f t="shared" si="2"/>
        <v>0</v>
      </c>
      <c r="AF14" s="1198">
        <f t="shared" si="2"/>
        <v>29</v>
      </c>
      <c r="AG14" s="1198">
        <f t="shared" si="2"/>
        <v>0</v>
      </c>
      <c r="AH14" s="1198">
        <f t="shared" si="2"/>
        <v>53</v>
      </c>
      <c r="AI14" s="1198">
        <f t="shared" si="2"/>
        <v>0</v>
      </c>
      <c r="AJ14" s="1198">
        <f t="shared" si="2"/>
        <v>0</v>
      </c>
      <c r="AK14" s="1198">
        <f t="shared" si="2"/>
        <v>0</v>
      </c>
      <c r="AL14" s="1198">
        <f t="shared" si="2"/>
        <v>0</v>
      </c>
      <c r="AM14" s="1198">
        <f t="shared" si="2"/>
        <v>2258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387</v>
      </c>
      <c r="BD14" s="1198">
        <f t="shared" si="2"/>
        <v>561</v>
      </c>
      <c r="BE14" s="1198">
        <f t="shared" si="2"/>
        <v>0</v>
      </c>
      <c r="BF14" s="1198">
        <f t="shared" si="2"/>
        <v>0</v>
      </c>
      <c r="BG14" s="1198">
        <f>IF(ISNUMBER(Datos!K14/Datos!J14),Datos!K14/Datos!J14," - ")</f>
        <v>0.75776397515527949</v>
      </c>
      <c r="BH14" s="1202">
        <f>IF(ISNUMBER(((Datos!L14/Datos!K14)*11)/factor_trimestre),((Datos!L14/Datos!K14)*11)/factor_trimestre," - ")</f>
        <v>15.426229508196721</v>
      </c>
      <c r="BI14" s="1198">
        <f>IF(ISNUMBER('Resol  Asuntos'!D14/NºAsuntos!G14),'Resol  Asuntos'!D14/NºAsuntos!G14," - ")</f>
        <v>0.26380368098159507</v>
      </c>
      <c r="BJ14" s="1198" t="str">
        <f>IF(ISNUMBER(Datos!CI14/Datos!CJ14),Datos!CI14/Datos!CJ14," - ")</f>
        <v xml:space="preserve"> - </v>
      </c>
      <c r="BK14" s="1198">
        <f>SUBTOTAL(9,BK8:BK13)</f>
        <v>0</v>
      </c>
      <c r="BL14" s="1198">
        <f>IF(ISNUMBER((I14-AB14+L14)/(F14)),(I14-AB14+L14)/(F14)," - ")</f>
        <v>-1.3478260869565217</v>
      </c>
      <c r="BM14" s="1203">
        <f>SUBTOTAL(9,BM9:BM13)</f>
        <v>6.814955040227165E-2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908</v>
      </c>
      <c r="G17" s="743">
        <f>IF(ISNUMBER(IF(D_I="SI",Datos!I17,Datos!I17+Datos!AC17)),IF(D_I="SI",Datos!I17,Datos!I17+Datos!AC17)," - ")</f>
        <v>878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1523</v>
      </c>
      <c r="AC17" s="240">
        <f>IF(ISNUMBER(Datos!Q17),Datos!Q17," - ")</f>
        <v>65</v>
      </c>
      <c r="AD17" s="374"/>
      <c r="AE17" s="562"/>
      <c r="AF17" s="741">
        <f>IF(ISNUMBER(IF(D_I="SI",Datos!L17,Datos!L17+Datos!AF17)),IF(D_I="SI",Datos!L17,Datos!L17+Datos!AF17)," - ")</f>
        <v>1012</v>
      </c>
      <c r="AG17" s="374"/>
      <c r="AH17" s="374"/>
      <c r="AI17" s="374"/>
      <c r="AJ17" s="549"/>
      <c r="AK17" s="374"/>
      <c r="AL17" s="545"/>
      <c r="AM17" s="375">
        <f>IF(ISNUMBER(Datos!R17),Datos!R17," - ")</f>
        <v>116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260</v>
      </c>
      <c r="BD17" s="243">
        <f>IF(ISNUMBER(Datos!N17),Datos!N17," - ")</f>
        <v>876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0.93607867240319609</v>
      </c>
      <c r="BH17" s="764">
        <f>IF(ISNUMBER(((IF(D_I="SI",Datos!L17/Datos!K17,(Datos!L17+Datos!AF17)/(Datos!K17+Datos!AE17)))*11)/factor_trimestre),((IF(D_I="SI",Datos!L17/Datos!K17,(Datos!L17+Datos!AF17)/(Datos!K17+Datos!AE17)))*11)/factor_trimestre," - ")</f>
        <v>7.3092580433355216</v>
      </c>
      <c r="BI17" s="266">
        <f>IF(ISNUMBER('Resol  Asuntos'!D17/NºAsuntos!G17),'Resol  Asuntos'!D17/NºAsuntos!G17," - ")</f>
        <v>0.17071569271175313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252</v>
      </c>
      <c r="AC18" s="547">
        <f>IF(ISNUMBER(Datos!Q18),Datos!Q18," - ")</f>
        <v>4</v>
      </c>
      <c r="AD18" s="549"/>
      <c r="AE18" s="562"/>
      <c r="AF18" s="551">
        <f>IF(ISNUMBER(Datos!L18),Datos!L18,"-")</f>
        <v>116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41</v>
      </c>
      <c r="BD18" s="693">
        <f>IF(ISNUMBER(Datos!N18),Datos!N18," - ")</f>
        <v>130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0.88111888111888115</v>
      </c>
      <c r="BH18" s="764">
        <f>IF(ISNUMBER(((IF(D_I="SI",Datos!L18/Datos!K18,(Datos!L18+Datos!AF18)/(Datos!K18+Datos!AE18)))*11)/factor_trimestre),((IF(D_I="SI",Datos!L18/Datos!K18,(Datos!L18+Datos!AF18)/(Datos!K18+Datos!AE18)))*11)/factor_trimestre," - ")</f>
        <v>5.0634920634920633</v>
      </c>
      <c r="BI18" s="763">
        <f>IF(ISNUMBER('Resol  Asuntos'!D18/NºAsuntos!G18),'Resol  Asuntos'!D18/NºAsuntos!G18," - ")</f>
        <v>0.1626984126984127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908</v>
      </c>
      <c r="G23" s="1197">
        <f>SUBTOTAL(9,G16:G22)</f>
        <v>959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1775</v>
      </c>
      <c r="AC23" s="1198">
        <f t="shared" si="5"/>
        <v>69</v>
      </c>
      <c r="AD23" s="1198">
        <f t="shared" si="5"/>
        <v>0</v>
      </c>
      <c r="AE23" s="1198">
        <f t="shared" si="5"/>
        <v>0</v>
      </c>
      <c r="AF23" s="1198">
        <f t="shared" si="5"/>
        <v>1128</v>
      </c>
      <c r="AG23" s="1198">
        <f t="shared" si="5"/>
        <v>0</v>
      </c>
      <c r="AH23" s="1198">
        <f t="shared" si="5"/>
        <v>0</v>
      </c>
      <c r="AI23" s="1198">
        <f t="shared" si="5"/>
        <v>0</v>
      </c>
      <c r="AJ23" s="1198">
        <f t="shared" si="5"/>
        <v>0</v>
      </c>
      <c r="AK23" s="1198">
        <f t="shared" si="5"/>
        <v>0</v>
      </c>
      <c r="AL23" s="1198">
        <f t="shared" si="5"/>
        <v>0</v>
      </c>
      <c r="AM23" s="1198">
        <f t="shared" si="5"/>
        <v>116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301</v>
      </c>
      <c r="BD23" s="1198">
        <f t="shared" si="5"/>
        <v>1006</v>
      </c>
      <c r="BE23" s="1198">
        <f t="shared" si="5"/>
        <v>0</v>
      </c>
      <c r="BF23" s="1198">
        <f t="shared" si="5"/>
        <v>0</v>
      </c>
      <c r="BG23" s="1198">
        <f>IF(ISNUMBER(Datos!K23/Datos!J23),Datos!K23/Datos!J23," - ")</f>
        <v>0.92786199686356507</v>
      </c>
      <c r="BH23" s="1202">
        <f>IF(ISNUMBER(((Datos!L23/Datos!K23)*11)/factor_trimestre),((Datos!L23/Datos!K23)*11)/factor_trimestre," - ")</f>
        <v>6.990422535211267</v>
      </c>
      <c r="BI23" s="1198">
        <f>SUBTOTAL(9,BI16:BI22)</f>
        <v>0.33341410541016581</v>
      </c>
      <c r="BJ23" s="1198">
        <f>SUBTOTAL(9,BJ16:BJ22)</f>
        <v>0</v>
      </c>
      <c r="BK23" s="1198">
        <f>SUBTOTAL(9,BK16:BK22)</f>
        <v>0</v>
      </c>
      <c r="BL23" s="1198">
        <f>IF(ISNUMBER((I23-AB23+L23)/(F23)),(I23-AB23+L23)/(F23)," - ")</f>
        <v>-1.9548458149779735</v>
      </c>
      <c r="BM23" s="1205">
        <f>IF(ISNUMBER((Datos!P23-Datos!Q23)/(Datos!R23-Datos!P23+Datos!Q23)),(Datos!P23-Datos!Q23)/(Datos!R23-Datos!P23+Datos!Q23)," - ")</f>
        <v>0.16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931</v>
      </c>
      <c r="G31" s="1117">
        <f t="shared" si="18"/>
        <v>982</v>
      </c>
      <c r="H31" s="1119">
        <f t="shared" si="18"/>
        <v>0</v>
      </c>
      <c r="I31" s="1117">
        <f t="shared" si="18"/>
        <v>0</v>
      </c>
      <c r="J31" s="1119">
        <f t="shared" si="18"/>
        <v>0</v>
      </c>
      <c r="K31" s="1119">
        <f t="shared" si="18"/>
        <v>0</v>
      </c>
      <c r="L31" s="1180">
        <f t="shared" si="18"/>
        <v>0</v>
      </c>
      <c r="M31" s="1180">
        <f t="shared" si="18"/>
        <v>0</v>
      </c>
      <c r="N31" s="1180">
        <f t="shared" si="18"/>
        <v>130</v>
      </c>
      <c r="O31" s="1180">
        <f t="shared" si="18"/>
        <v>0</v>
      </c>
      <c r="P31" s="1180">
        <f t="shared" si="18"/>
        <v>0</v>
      </c>
      <c r="Q31" s="1119">
        <f t="shared" si="18"/>
        <v>463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1806</v>
      </c>
      <c r="AC31" s="1118">
        <f t="shared" si="19"/>
        <v>302</v>
      </c>
      <c r="AD31" s="1118">
        <f t="shared" si="19"/>
        <v>0</v>
      </c>
      <c r="AE31" s="1118">
        <f t="shared" si="19"/>
        <v>0</v>
      </c>
      <c r="AF31" s="1125">
        <f t="shared" si="19"/>
        <v>1157</v>
      </c>
      <c r="AG31" s="1125">
        <f t="shared" si="19"/>
        <v>0</v>
      </c>
      <c r="AH31" s="1125">
        <f t="shared" si="19"/>
        <v>53</v>
      </c>
      <c r="AI31" s="1125">
        <f t="shared" si="19"/>
        <v>0</v>
      </c>
      <c r="AJ31" s="1118">
        <f t="shared" si="19"/>
        <v>0</v>
      </c>
      <c r="AK31" s="1125">
        <f t="shared" si="19"/>
        <v>0</v>
      </c>
      <c r="AL31" s="1125">
        <f t="shared" si="19"/>
        <v>0</v>
      </c>
      <c r="AM31" s="1125">
        <f t="shared" si="19"/>
        <v>2374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688</v>
      </c>
      <c r="BD31" s="1117">
        <f t="shared" si="19"/>
        <v>1567</v>
      </c>
      <c r="BE31" s="1117">
        <f t="shared" si="19"/>
        <v>0</v>
      </c>
      <c r="BF31" s="1127">
        <f t="shared" si="19"/>
        <v>0</v>
      </c>
      <c r="BG31" s="1223">
        <f>IF(ISNUMBER(Datos!K31/Datos!J31),Datos!K31/Datos!J31," - ")</f>
        <v>0.84609120521172643</v>
      </c>
      <c r="BH31" s="1223">
        <f>IF(ISNUMBER(((Datos!L31/Datos!K31)*11)/factor_trimestre),((Datos!L31/Datos!K31)*11)/factor_trimestre," - ")</f>
        <v>10.622393326916908</v>
      </c>
      <c r="BI31" s="1103">
        <f>IF(ISNUMBER(Datos!J31/Datos!I31),Datos!J31/Datos!I31," - ")</f>
        <v>1.527363184079602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-1.9398496240601504</v>
      </c>
      <c r="BM31" s="1188">
        <f>IF(ISNUMBER((Datos!P31-Datos!Q31+R31)/(Datos!R31-Datos!P31+Datos!Q31-R31)),(Datos!P31-Datos!Q31+R31)/(Datos!R31-Datos!P31+Datos!Q31-R31)," - ")</f>
        <v>7.2751920469950299E-2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280.57142857142856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463.06486226733585</v>
      </c>
      <c r="G33" s="674">
        <f>IF(ISNUMBER(STDEV(G8:G30)),STDEV(G8:G30),"-")</f>
        <v>437.25311401325172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782.28170544035265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175.04121963534354</v>
      </c>
      <c r="BD33" s="673"/>
      <c r="BE33" s="673">
        <f>IF(ISNUMBER(STDEV(BE8:BE30)),STDEV(BE8:BE30),"-")</f>
        <v>0</v>
      </c>
      <c r="BF33" s="678">
        <f>IF(ISNUMBER(STDEV(BF8:BF30)),STDEV(BF8:BF30),"-")</f>
        <v>0</v>
      </c>
      <c r="BG33" s="1052">
        <f>IF(ISNUMBER(STDEV(BG8:BG30)),STDEV(BG8:BG30),"-")</f>
        <v>7.6699179354423178E-2</v>
      </c>
      <c r="BH33" s="1058">
        <f>IF(ISNUMBER(STDEV(BH8:BH30)),STDEV(BH8:BH30),"-")</f>
        <v>4.2741200196700841</v>
      </c>
      <c r="BI33" s="273">
        <f>IF(ISNUMBER(STDEV(BI8:BI30)),STDEV(BI8:BI30),"-")</f>
        <v>8.1349123143868413E-2</v>
      </c>
      <c r="BJ33" s="244" t="str">
        <f>IF(ISNUMBER(BL33/BM33),BL33/BM33," - ")</f>
        <v xml:space="preserve"> - </v>
      </c>
      <c r="BK33" s="709"/>
      <c r="BL33" s="681">
        <f>IF(ISNUMBER(STDEV(BL8:BL30)),STDEV(BL8:BL30),"-")</f>
        <v>0.42922776599798268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exBt/BXY0hnRqq2bsiqzsBROLHqLxxpLgjvEsBwh/aDvfbmyESD6BDGs/+Ab4Fg+1lOZkcC042KXPdHKRxb8ag==" saltValue="/F7G9pnuP7+bP17Em8Sd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VALDEPEÑAS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23</v>
      </c>
      <c r="G10" s="552">
        <f>IF(ISNUMBER(Datos!I10),Datos!I10," - ")</f>
        <v>23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31</v>
      </c>
      <c r="Z10" s="805">
        <f>IF(ISNUMBER(Datos!Q10),Datos!Q10," - ")</f>
        <v>0</v>
      </c>
      <c r="AA10" s="551">
        <f>IF(ISNUMBER(Datos!L10),Datos!L10,"-")</f>
        <v>29</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11</v>
      </c>
      <c r="AK10" s="693">
        <f>IF(ISNUMBER(Datos!N10),Datos!N10," - ")</f>
        <v>10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10.29032258064516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377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233</v>
      </c>
      <c r="AA12" s="551" t="str">
        <f>IF(ISNUMBER(IF(J_V="SI",Datos!L12,Datos!L12+Datos!AB12)-IF(Monitorios="SI",Datos!CD12,0)),
                          IF(J_V="SI",Datos!L12,Datos!L12+Datos!AB12)-IF(Monitorios="SI",Datos!CD12,0),
                          " - ")</f>
        <v xml:space="preserve"> - </v>
      </c>
      <c r="AB12" s="549"/>
      <c r="AC12" s="549"/>
      <c r="AD12" s="563"/>
      <c r="AE12" s="563">
        <f>IF(ISNUMBER(Datos!R12),Datos!R12," - ")</f>
        <v>2257</v>
      </c>
      <c r="AF12" s="693" t="str">
        <f>IF(ISNUMBER(Datos!BV12),Datos!BV12," - ")</f>
        <v xml:space="preserve"> - </v>
      </c>
      <c r="AG12" s="552" t="str">
        <f>IF(ISNUMBER(Datos!DV12),Datos!DV12," - ")</f>
        <v xml:space="preserve"> - </v>
      </c>
      <c r="AH12" s="553"/>
      <c r="AI12" s="554"/>
      <c r="AJ12" s="552">
        <f>IF(ISNUMBER(Datos!M12),Datos!M12," - ")</f>
        <v>376</v>
      </c>
      <c r="AK12" s="693">
        <f>IF(ISNUMBER(Datos!N12),Datos!N12," - ")</f>
        <v>551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14.600278551532032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6.814955040227165E-2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23</v>
      </c>
      <c r="G14" s="1197">
        <f>SUBTOTAL(9,G8:G13)</f>
        <v>23</v>
      </c>
      <c r="H14" s="1211"/>
      <c r="I14" s="1197">
        <f t="shared" ref="I14:N14" si="1">SUBTOTAL(9,I8:I13)</f>
        <v>0</v>
      </c>
      <c r="J14" s="1164">
        <f t="shared" si="1"/>
        <v>0</v>
      </c>
      <c r="K14" s="1211">
        <f t="shared" si="1"/>
        <v>0</v>
      </c>
      <c r="L14" s="1211">
        <f t="shared" si="1"/>
        <v>0</v>
      </c>
      <c r="M14" s="1211">
        <f t="shared" si="1"/>
        <v>0</v>
      </c>
      <c r="N14" s="1211">
        <f t="shared" si="1"/>
        <v>378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31</v>
      </c>
      <c r="Z14" s="1210">
        <f t="shared" si="3"/>
        <v>233</v>
      </c>
      <c r="AA14" s="1199">
        <f t="shared" si="3"/>
        <v>29</v>
      </c>
      <c r="AB14" s="1199">
        <f t="shared" si="3"/>
        <v>0</v>
      </c>
      <c r="AC14" s="1199">
        <f t="shared" si="3"/>
        <v>0</v>
      </c>
      <c r="AD14" s="1199">
        <f t="shared" si="3"/>
        <v>0</v>
      </c>
      <c r="AE14" s="1199">
        <f t="shared" si="3"/>
        <v>2258</v>
      </c>
      <c r="AF14" s="1211">
        <f t="shared" si="3"/>
        <v>0</v>
      </c>
      <c r="AG14" s="1211">
        <f t="shared" si="3"/>
        <v>0</v>
      </c>
      <c r="AH14" s="1211">
        <f t="shared" si="3"/>
        <v>0</v>
      </c>
      <c r="AI14" s="1211">
        <f t="shared" si="3"/>
        <v>0</v>
      </c>
      <c r="AJ14" s="1211">
        <f t="shared" si="3"/>
        <v>387</v>
      </c>
      <c r="AK14" s="1211">
        <f t="shared" si="3"/>
        <v>561</v>
      </c>
      <c r="AL14" s="1211">
        <f t="shared" si="3"/>
        <v>0</v>
      </c>
      <c r="AM14" s="1211">
        <f t="shared" si="3"/>
        <v>0</v>
      </c>
      <c r="AN14" s="1211">
        <f t="shared" si="3"/>
        <v>0</v>
      </c>
      <c r="AO14" s="1203">
        <f>IF(ISNUMBER(((NºAsuntos!I14/NºAsuntos!G14)*11)/factor_trimestre),((NºAsuntos!I14/NºAsuntos!G14)*11)/factor_trimestre," - ")</f>
        <v>14.509202453987729</v>
      </c>
      <c r="AP14" s="1213" t="str">
        <f>IF(ISNUMBER(Datos!CI14/Datos!CJ14),Datos!CI14/Datos!CJ14," - ")</f>
        <v xml:space="preserve"> - </v>
      </c>
      <c r="AQ14" s="1236">
        <f t="shared" ref="AQ14:AV14" si="4">SUBTOTAL(9,AQ9:AQ13)</f>
        <v>0</v>
      </c>
      <c r="AR14" s="1236">
        <f t="shared" si="4"/>
        <v>6.814955040227165E-2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908</v>
      </c>
      <c r="G17" s="552">
        <f>IF(ISNUMBER(IF(D_I="SI",Datos!I17,Datos!I17+Datos!AC17)),IF(D_I="SI",Datos!I17,Datos!I17+Datos!AC17)," - ")</f>
        <v>878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1523</v>
      </c>
      <c r="Z17" s="805">
        <f>IF(ISNUMBER(Datos!Q17),Datos!Q17," - ")</f>
        <v>65</v>
      </c>
      <c r="AA17" s="551">
        <f>IF(ISNUMBER(IF(D_I="SI",Datos!L17,Datos!L17+Datos!AF17)),IF(D_I="SI",Datos!L17,Datos!L17+Datos!AF17)," - ")</f>
        <v>1012</v>
      </c>
      <c r="AB17" s="549"/>
      <c r="AC17" s="549"/>
      <c r="AD17" s="563"/>
      <c r="AE17" s="563">
        <f>IF(ISNUMBER(Datos!R17),Datos!R17," - ")</f>
        <v>116</v>
      </c>
      <c r="AF17" s="693" t="str">
        <f>IF(ISNUMBER(Datos!BV17),Datos!BV17," - ")</f>
        <v xml:space="preserve"> - </v>
      </c>
      <c r="AG17" s="552"/>
      <c r="AH17" s="553"/>
      <c r="AI17" s="554"/>
      <c r="AJ17" s="552">
        <f>IF(ISNUMBER(Datos!M17),Datos!M17," - ")</f>
        <v>260</v>
      </c>
      <c r="AK17" s="693">
        <f>IF(ISNUMBER(Datos!N17),Datos!N17," - ")</f>
        <v>876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7.3092580433355216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252</v>
      </c>
      <c r="Z18" s="805">
        <f>IF(ISNUMBER(Datos!Q18),Datos!Q18," - ")</f>
        <v>4</v>
      </c>
      <c r="AA18" s="551">
        <f>IF(ISNUMBER(Datos!L18),Datos!L18,"-")</f>
        <v>116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41</v>
      </c>
      <c r="AK18" s="693">
        <f>IF(ISNUMBER(Datos!N18),Datos!N18," - ")</f>
        <v>130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5.0634920634920633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908</v>
      </c>
      <c r="G23" s="1197">
        <f>SUBTOTAL(9,G16:G22)</f>
        <v>959</v>
      </c>
      <c r="H23" s="1240">
        <f>SUBTOTAL(9,H16:H22)</f>
        <v>0</v>
      </c>
      <c r="I23" s="1217">
        <f>SUBTOTAL(9,I16:I22)</f>
        <v>0</v>
      </c>
      <c r="J23" s="1164">
        <f>SUBTOTAL(9,J15:J22)</f>
        <v>0</v>
      </c>
      <c r="K23" s="1240">
        <f t="shared" ref="K23:S23" si="5">SUBTOTAL(9,K16:K22)</f>
        <v>0</v>
      </c>
      <c r="L23" s="1240">
        <f t="shared" si="5"/>
        <v>0</v>
      </c>
      <c r="M23" s="1240">
        <f t="shared" si="5"/>
        <v>0</v>
      </c>
      <c r="N23" s="1240">
        <f t="shared" si="5"/>
        <v>85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1775</v>
      </c>
      <c r="Z23" s="1240">
        <f t="shared" si="6"/>
        <v>69</v>
      </c>
      <c r="AA23" s="1240">
        <f t="shared" si="6"/>
        <v>1128</v>
      </c>
      <c r="AB23" s="1240">
        <f t="shared" si="6"/>
        <v>0</v>
      </c>
      <c r="AC23" s="1240">
        <f t="shared" si="6"/>
        <v>0</v>
      </c>
      <c r="AD23" s="1240">
        <f t="shared" si="6"/>
        <v>0</v>
      </c>
      <c r="AE23" s="1240">
        <f t="shared" si="6"/>
        <v>116</v>
      </c>
      <c r="AF23" s="1240">
        <f t="shared" si="6"/>
        <v>0</v>
      </c>
      <c r="AG23" s="1240">
        <f t="shared" si="6"/>
        <v>0</v>
      </c>
      <c r="AH23" s="1240">
        <f t="shared" si="6"/>
        <v>0</v>
      </c>
      <c r="AI23" s="1240">
        <f t="shared" si="6"/>
        <v>0</v>
      </c>
      <c r="AJ23" s="1240">
        <f t="shared" si="6"/>
        <v>301</v>
      </c>
      <c r="AK23" s="1240">
        <f t="shared" si="6"/>
        <v>1006</v>
      </c>
      <c r="AL23" s="1240">
        <f t="shared" si="6"/>
        <v>0</v>
      </c>
      <c r="AM23" s="1240">
        <f t="shared" si="6"/>
        <v>0</v>
      </c>
      <c r="AN23" s="1240">
        <f t="shared" si="6"/>
        <v>0</v>
      </c>
      <c r="AO23" s="1242">
        <f>IF(ISNUMBER(((NºAsuntos!I23/NºAsuntos!G23)*11)/factor_trimestre),((NºAsuntos!I23/NºAsuntos!G23)*11)/factor_trimestre," - ")</f>
        <v>6.990422535211267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931</v>
      </c>
      <c r="G31" s="1117">
        <f t="shared" si="12"/>
        <v>982</v>
      </c>
      <c r="H31" s="1118">
        <f t="shared" si="12"/>
        <v>0</v>
      </c>
      <c r="I31" s="1117">
        <f t="shared" si="12"/>
        <v>0</v>
      </c>
      <c r="J31" s="1119">
        <f t="shared" si="12"/>
        <v>0</v>
      </c>
      <c r="K31" s="1117">
        <f t="shared" si="12"/>
        <v>0</v>
      </c>
      <c r="L31" s="1120">
        <f t="shared" si="12"/>
        <v>0</v>
      </c>
      <c r="M31" s="1117">
        <f t="shared" si="12"/>
        <v>0</v>
      </c>
      <c r="N31" s="1118">
        <f t="shared" si="12"/>
        <v>463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1806</v>
      </c>
      <c r="Z31" s="1124">
        <f t="shared" si="13"/>
        <v>302</v>
      </c>
      <c r="AA31" s="1125">
        <f t="shared" si="13"/>
        <v>1157</v>
      </c>
      <c r="AB31" s="1125">
        <f t="shared" si="13"/>
        <v>0</v>
      </c>
      <c r="AC31" s="1125">
        <f t="shared" si="13"/>
        <v>0</v>
      </c>
      <c r="AD31" s="1126">
        <f t="shared" si="13"/>
        <v>0</v>
      </c>
      <c r="AE31" s="1126">
        <f t="shared" si="13"/>
        <v>2374</v>
      </c>
      <c r="AF31" s="1127">
        <f t="shared" si="13"/>
        <v>0</v>
      </c>
      <c r="AG31" s="1128">
        <f t="shared" si="13"/>
        <v>0</v>
      </c>
      <c r="AH31" s="1129">
        <f t="shared" si="13"/>
        <v>0</v>
      </c>
      <c r="AI31" s="1127">
        <f t="shared" si="13"/>
        <v>0</v>
      </c>
      <c r="AJ31" s="1117">
        <f t="shared" si="13"/>
        <v>688</v>
      </c>
      <c r="AK31" s="1117">
        <f t="shared" si="13"/>
        <v>1567</v>
      </c>
      <c r="AL31" s="1117">
        <f t="shared" si="13"/>
        <v>0</v>
      </c>
      <c r="AM31" s="1130">
        <f t="shared" si="13"/>
        <v>0</v>
      </c>
      <c r="AN31" s="1120">
        <f>IF(ISNUMBER(Datos!K31/Datos!J31),Datos!K31/Datos!J31," - ")</f>
        <v>0.84609120521172643</v>
      </c>
      <c r="AO31" s="1120">
        <f>IF(ISNUMBER(FIND("06",Criterios!A8,1)),(IF(ISNUMBER(((Datos!R31/Datos!Q31)*11)/factor_trimestre),((Datos!R31/Datos!Q31)*11)/factor_trimestre," - ")),(IF(ISNUMBER(((Datos!L31/Datos!K31)*11)/factor_trimestre),((Datos!L31/Datos!K31)*11)/factor_trimestre," - ")))</f>
        <v>10.622393326916908</v>
      </c>
      <c r="AP31" s="1131" t="str">
        <f>IF(ISNUMBER(Datos!CI31/Datos!CJ31),Datos!CI31/Datos!CJ31," - ")</f>
        <v xml:space="preserve"> - </v>
      </c>
      <c r="AQ31" s="1131">
        <f>IF(OR(ISNUMBER(FIND("01",Criterios!A8,1)),ISNUMBER(FIND("02",Criterios!A8,1)),ISNUMBER(FIND("03",Criterios!A8,1)),ISNUMBER(FIND("04",Criterios!A8,1))),(J31-Y31+K31)/(F31-K31),(I31-Y31+K31)/(F31-K31))</f>
        <v>-1.9398496240601504</v>
      </c>
      <c r="AR31" s="1131">
        <f>IF(ISNUMBER((Datos!P31-Datos!Q31+O31)/(Datos!R31-Datos!P31+Datos!Q31-O31)),(Datos!P31-Datos!Q31+O31)/(Datos!R31-Datos!P31+Datos!Q31-O31)," - ")</f>
        <v>7.2751920469950299E-2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280.57142857142856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463.06486226733585</v>
      </c>
      <c r="G33" s="674">
        <f>IF(ISNUMBER(STDEV(G8:G30)),STDEV(G8:G30),"-")</f>
        <v>437.25311401325172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175.04121963534354</v>
      </c>
      <c r="AK33" s="276"/>
      <c r="AL33" s="276">
        <f>IF(ISNUMBER(STDEV(AL8:AL30)),STDEV(AL8:AL30),"-")</f>
        <v>0</v>
      </c>
      <c r="AM33" s="278">
        <f>IF(ISNUMBER(STDEV(AM8:AM30)),STDEV(AM8:AM30),"-")</f>
        <v>0</v>
      </c>
      <c r="AN33" s="660">
        <f>IF(ISNUMBER(STDEV(AN8:AN30)),STDEV(AN8:AN30),"-")</f>
        <v>0</v>
      </c>
      <c r="AO33" s="661">
        <f>IF(ISNUMBER(STDEV(AO8:AO30)),STDEV(AO8:AO30),"-")</f>
        <v>4.0494809088579959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gbq1w+z6gAl57MKtbLFpAPfINOPk9EcPUIbg3R1uX/DqucwfMyFAp7cFtxB3dGFdJgzQSWbFdks/j32RE2wucQ==" saltValue="pM98+gV9z4AWUts+Y2RD7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GfF56FNBBYmqnM8AFL+/OUcLyFXcLgCzk0VQPpxxasaAUsyIwSxXl+6EPmbPwmxM2Nrd0CLqgFqxg44gP9efw==" saltValue="N6SsZ3S2QZuKx590wLLC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EQHDfYpI4OVViiZhZd+BJDwyObqbfNZ1JyTBysE7ua/scT/LNCkWZ9HBa90s62MTNIlSm+iT04dccuJr3dqGw==" saltValue="NQDSwFzzRXOXh8W+3YReG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VALDEPEÑAS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0.26380368098159507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0.18653737172405854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8TYAmLaeOuQgbC7FcQ4I1plhQ/nooVCg2CeMlYD9EI4XXwkrr9dPwwtAzpYacJS9RNVZri8PyFTwUCcxk1sRKA==" saltValue="zM9syHq8bx7vILYCjWp3M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d8rn0RLXQpAQtY3LH2Jf6HFOLuq2rWODT2mFQQsy2S0ILGmaRSY17qHunhm5nebzBMrsDt/ntDertM5VKN6SDA==" saltValue="yzp3kM5F+XeEQoSCG487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VALDEPEÑAS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23</v>
      </c>
      <c r="D10" s="452">
        <f>IF(ISNUMBER(C10/Datos!BH10),C10/Datos!BH10," - ")</f>
        <v>23</v>
      </c>
      <c r="E10" s="451">
        <f>IF(ISNUMBER(Datos!J10),Datos!J10," - ")</f>
        <v>37</v>
      </c>
      <c r="F10" s="452">
        <f>IF(ISNUMBER(E10/B10),E10/B10," - ")</f>
        <v>37</v>
      </c>
      <c r="G10" s="451">
        <f>IF(ISNUMBER(Datos!K10),Datos!K10," - ")</f>
        <v>31</v>
      </c>
      <c r="H10" s="452">
        <f>IF(ISNUMBER(G10/B10),G10/B10," - ")</f>
        <v>31</v>
      </c>
      <c r="I10" s="451">
        <f>IF(ISNUMBER(Datos!L10),Datos!L10," - ")</f>
        <v>29</v>
      </c>
      <c r="J10" s="452">
        <f>IF(ISNUMBER(I10/B10),I10/B10," - ")</f>
        <v>29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1476</v>
      </c>
      <c r="D12" s="452">
        <f>IF(ISNUMBER(C12/Datos!BH12),C12/Datos!BH12," - ")</f>
        <v>738</v>
      </c>
      <c r="E12" s="451">
        <f>IF(ISNUMBER(IF(J_V="SI",Datos!J12,Datos!J12+Datos!Z12)),IF(J_V="SI",Datos!J12,Datos!J12+Datos!Z12)," - ")</f>
        <v>1864</v>
      </c>
      <c r="F12" s="452">
        <f>IF(ISNUMBER(E12/B12),E12/B12," - ")</f>
        <v>932</v>
      </c>
      <c r="G12" s="451">
        <f>IF(ISNUMBER(IF(J_V="SI",Datos!K12,Datos!K12+Datos!AA12)),IF(J_V="SI",Datos!K12,Datos!K12+Datos!AA12)," - ")</f>
        <v>1436</v>
      </c>
      <c r="H12" s="452">
        <f>IF(ISNUMBER(G12/B12),G12/B12," - ")</f>
        <v>718</v>
      </c>
      <c r="I12" s="451">
        <f>IF(ISNUMBER(IF(J_V="SI",Datos!L12,Datos!L12+Datos!AB12)),IF(J_V="SI",Datos!L12,Datos!L12+Datos!AB12)," - ")</f>
        <v>1906</v>
      </c>
      <c r="J12" s="452">
        <f>IF(ISNUMBER(I12/B12),I12/B12," - ")</f>
        <v>953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1499</v>
      </c>
      <c r="D14" s="1147" t="str">
        <f>IF(ISNUMBER(C14/Datos!BI14),C14/Datos!BI14," - ")</f>
        <v xml:space="preserve"> - </v>
      </c>
      <c r="E14" s="1146">
        <f>SUBTOTAL(9,E8:E13)</f>
        <v>1901</v>
      </c>
      <c r="F14" s="1147">
        <f>IF(ISNUMBER(E14/B14),E14/B14," - ")</f>
        <v>950.5</v>
      </c>
      <c r="G14" s="1146">
        <f>SUBTOTAL(9,G8:G13)</f>
        <v>1467</v>
      </c>
      <c r="H14" s="1147">
        <f>IF(ISNUMBER(G14/B14),G14/B14," - ")</f>
        <v>733.5</v>
      </c>
      <c r="I14" s="1146">
        <f>SUBTOTAL(9,I8:I13)</f>
        <v>1935</v>
      </c>
      <c r="J14" s="1147">
        <f>IF(ISNUMBER(I14/B14),I14/B14," - ")</f>
        <v>967.5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878</v>
      </c>
      <c r="D17" s="452">
        <f>IF(ISNUMBER(C17/Datos!BH17),C17/Datos!BH17," - ")</f>
        <v>439</v>
      </c>
      <c r="E17" s="451">
        <f>IF(ISNUMBER(IF(D_I="SI",Datos!J17,Datos!J17+Datos!AD17)),IF(D_I="SI",Datos!J17,Datos!J17+Datos!AD17)," - ")</f>
        <v>1627</v>
      </c>
      <c r="F17" s="452">
        <f>IF(ISNUMBER(E17/B17),E17/B17," - ")</f>
        <v>813.5</v>
      </c>
      <c r="G17" s="451">
        <f>IF(ISNUMBER(IF(D_I="SI",Datos!K17,Datos!K17+Datos!AE17)),IF(D_I="SI",Datos!K17,Datos!K17+Datos!AE17)," - ")</f>
        <v>1523</v>
      </c>
      <c r="H17" s="452">
        <f>IF(ISNUMBER(G17/B17),G17/B17," - ")</f>
        <v>761.5</v>
      </c>
      <c r="I17" s="451">
        <f>IF(ISNUMBER(IF(D_I="SI",Datos!L17,Datos!L17+Datos!AF17)),IF(D_I="SI",Datos!L17,Datos!L17+Datos!AF17)," - ")</f>
        <v>1012</v>
      </c>
      <c r="J17" s="452">
        <f>IF(ISNUMBER(I17/B17),I17/B17," - ")</f>
        <v>506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81</v>
      </c>
      <c r="D18" s="452">
        <f>IF(ISNUMBER(C18/Datos!BH18),C18/Datos!BH18," - ")</f>
        <v>81</v>
      </c>
      <c r="E18" s="451">
        <f>IF(ISNUMBER(IF(D_I="SI",Datos!J18,Datos!J18+Datos!AD18)),IF(D_I="SI",Datos!J18,Datos!J18+Datos!AD18)," - ")</f>
        <v>286</v>
      </c>
      <c r="F18" s="452">
        <f>IF(ISNUMBER(E18/B18),E18/B18," - ")</f>
        <v>286</v>
      </c>
      <c r="G18" s="451">
        <f>IF(ISNUMBER(IF(D_I="SI",Datos!K18,Datos!K18+Datos!AE18)),IF(D_I="SI",Datos!K18,Datos!K18+Datos!AE18)," - ")</f>
        <v>252</v>
      </c>
      <c r="H18" s="452">
        <f>IF(ISNUMBER(G18/B18),G18/B18," - ")</f>
        <v>252</v>
      </c>
      <c r="I18" s="451">
        <f>IF(ISNUMBER(IF(D_I="SI",Datos!L18,Datos!L18+Datos!AF18)),IF(D_I="SI",Datos!L18,Datos!L18+Datos!AF18)," - ")</f>
        <v>116</v>
      </c>
      <c r="J18" s="452">
        <f>IF(ISNUMBER(I18/B18),I18/B18," - ")</f>
        <v>116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959</v>
      </c>
      <c r="D23" s="1147" t="str">
        <f>IF(ISNUMBER(C23/Datos!BI23),C23/Datos!BI23," - ")</f>
        <v xml:space="preserve"> - </v>
      </c>
      <c r="E23" s="1146">
        <f>SUBTOTAL(9,E15:E22)</f>
        <v>1913</v>
      </c>
      <c r="F23" s="1147">
        <f>IF(ISNUMBER(E23/B23),E23/B23," - ")</f>
        <v>956.5</v>
      </c>
      <c r="G23" s="1146">
        <f>SUBTOTAL(9,G15:G22)</f>
        <v>1775</v>
      </c>
      <c r="H23" s="1147">
        <f>IF(ISNUMBER(G23/B23),G23/B23," - ")</f>
        <v>887.5</v>
      </c>
      <c r="I23" s="1146">
        <f>SUBTOTAL(9,I15:I22)</f>
        <v>1128</v>
      </c>
      <c r="J23" s="1147">
        <f>IF(ISNUMBER(I23/B23),I23/B23," - ")</f>
        <v>564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2458</v>
      </c>
      <c r="D31" s="1085" t="str">
        <f>IF(ISNUMBER(C31/Datos!BI31),C31/Datos!BI31," - ")</f>
        <v xml:space="preserve"> - </v>
      </c>
      <c r="E31" s="1084">
        <f>SUBTOTAL(9,E9:E30)</f>
        <v>3814</v>
      </c>
      <c r="F31" s="1085">
        <f>IF(ISNUMBER(E31/B31),E31/B31," - ")</f>
        <v>1907</v>
      </c>
      <c r="G31" s="1084">
        <f>SUBTOTAL(9,G9:G30)</f>
        <v>3242</v>
      </c>
      <c r="H31" s="1085">
        <f>IF(ISNUMBER(G31/B31),G31/B31," - ")</f>
        <v>1621</v>
      </c>
      <c r="I31" s="1084">
        <f>SUBTOTAL(9,I9:I30)</f>
        <v>3063</v>
      </c>
      <c r="J31" s="1085">
        <f>IF(ISNUMBER(I31/B31),I31/B31," - ")</f>
        <v>1531.5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D7qYokaCYw6DKyCvGWrapLk1bCApoWeoElY4NxjpSSGV1xRNCbT+vm93+b/0XIyL/GwBzJceYQcIYhxqgkT27w==" saltValue="6VmoFXTRSVGSTFTLRuoGf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VALDEPEÑAS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23</v>
      </c>
      <c r="G10" s="906">
        <f>IF(ISNUMBER(Datos!I10),Datos!I10," - ")</f>
        <v>23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31</v>
      </c>
      <c r="AC10" s="905" t="str">
        <f>IF(ISNUMBER(IF(D_I="SI",DatosP!K18,DatosP!K18+DatosP!AE18)),IF(D_I="SI",DatosP!K18,DatosP!K18+DatosP!AE18)," - ")</f>
        <v xml:space="preserve"> - </v>
      </c>
      <c r="AD10" s="907"/>
      <c r="AE10" s="907"/>
      <c r="AF10" s="910">
        <f>IF(ISNUMBER(Datos!L10),Datos!L10,"-")</f>
        <v>29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10</v>
      </c>
      <c r="AN10" s="914">
        <f>IF(ISNUMBER(Datos!BW10+DatosP!BW18),Datos!BW10+DatosP!BW18," - ")</f>
        <v>0</v>
      </c>
      <c r="AO10" s="915">
        <f>IF(ISNUMBER(Datos!BX10+DatosP!BX18),Datos!BX10+DatosP!BX18," - ")</f>
        <v>0</v>
      </c>
      <c r="AP10" s="917">
        <f>IF(ISNUMBER(((Datos!L10/Datos!K10)*11)/factor_trimestre),((Datos!L10/Datos!K10)*11)/factor_trimestre," - ")</f>
        <v>10.29032258064516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377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233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2257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376</v>
      </c>
      <c r="AM12" s="914">
        <f>IF(ISNUMBER(Datos!N12+DatosP!N17),Datos!N12+DatosP!N17," - ")</f>
        <v>551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14.600278551532032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6.814955040227165E-2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23</v>
      </c>
      <c r="G14" s="1256">
        <f t="shared" si="0"/>
        <v>23</v>
      </c>
      <c r="H14" s="1256">
        <f t="shared" si="0"/>
        <v>0</v>
      </c>
      <c r="I14" s="1258">
        <f t="shared" si="0"/>
        <v>0</v>
      </c>
      <c r="J14" s="1257">
        <f t="shared" si="0"/>
        <v>0</v>
      </c>
      <c r="K14" s="1257">
        <f t="shared" si="0"/>
        <v>0</v>
      </c>
      <c r="L14" s="1259">
        <f t="shared" si="0"/>
        <v>0</v>
      </c>
      <c r="M14" s="1259">
        <f t="shared" si="0"/>
        <v>0</v>
      </c>
      <c r="N14" s="1257">
        <f t="shared" si="0"/>
        <v>378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31</v>
      </c>
      <c r="AC14" s="1257">
        <f t="shared" si="1"/>
        <v>0</v>
      </c>
      <c r="AD14" s="1257">
        <f t="shared" si="1"/>
        <v>233</v>
      </c>
      <c r="AE14" s="1257">
        <f t="shared" si="1"/>
        <v>0</v>
      </c>
      <c r="AF14" s="1257">
        <f t="shared" si="1"/>
        <v>29</v>
      </c>
      <c r="AG14" s="1257">
        <f t="shared" si="1"/>
        <v>0</v>
      </c>
      <c r="AH14" s="1257">
        <f t="shared" si="1"/>
        <v>2257</v>
      </c>
      <c r="AI14" s="1257">
        <f t="shared" si="1"/>
        <v>0</v>
      </c>
      <c r="AJ14" s="1257">
        <f t="shared" si="1"/>
        <v>0</v>
      </c>
      <c r="AK14" s="1257">
        <f t="shared" si="1"/>
        <v>0</v>
      </c>
      <c r="AL14" s="1257">
        <f t="shared" si="1"/>
        <v>387</v>
      </c>
      <c r="AM14" s="1257">
        <f t="shared" si="1"/>
        <v>561</v>
      </c>
      <c r="AN14" s="1257">
        <f t="shared" si="1"/>
        <v>0</v>
      </c>
      <c r="AO14" s="1257">
        <f t="shared" si="1"/>
        <v>0</v>
      </c>
      <c r="AP14" s="1262">
        <f>IF(ISNUMBER(((Datos!L14/Datos!K14)*11)/factor_trimestre),((Datos!L14/Datos!K14)*11)/factor_trimestre," - ")</f>
        <v>15.426229508196721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-1.3478260869565217</v>
      </c>
      <c r="AU14" s="1257" t="str">
        <f>IF(ISNUMBER((DatosP!#REF!-DatosP!#REF!+DatosP!#REF!)/(DatosP!#REF!+DatosP!#REF!-DatosP!#REF!-DatosP!#REF!)),(DatosP!#REF!-DatosP!#REF!+DatosP!#REF!)/(DatosP!#REF!+DatosP!#REF!-DatosP!#REF!-DatosP!#REF!)," - ")</f>
        <v xml:space="preserve"> - </v>
      </c>
      <c r="AV14" s="1263">
        <f>SUBTOTAL(9,AV9:AV13)</f>
        <v>6.814955040227165E-2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6.990422535211267</v>
      </c>
      <c r="AQ23" s="1262">
        <f>IF(ISNUMBER(((Datos!M23/Datos!L23)*11)/factor_trimestre),((Datos!M23/Datos!L23)*11)/factor_trimestre," - ")</f>
        <v>2.9352836879432624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v>
      </c>
      <c r="AW23" s="1265">
        <f>IF(ISNUMBER((Datos!Q23-Datos!R23)/(Datos!S23-Datos!Q23+Datos!R23)),(Datos!Q23-Datos!R23)/(Datos!S23-Datos!Q23+Datos!R23)," - ")</f>
        <v>-5.0106609808102345E-2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23</v>
      </c>
      <c r="G31" s="1278">
        <f t="shared" si="8"/>
        <v>23</v>
      </c>
      <c r="H31" s="1278">
        <f t="shared" si="8"/>
        <v>0</v>
      </c>
      <c r="I31" s="1279">
        <f t="shared" si="8"/>
        <v>0</v>
      </c>
      <c r="J31" s="1280">
        <f t="shared" si="8"/>
        <v>0</v>
      </c>
      <c r="K31" s="1280">
        <f t="shared" si="8"/>
        <v>0</v>
      </c>
      <c r="L31" s="1280">
        <f t="shared" si="8"/>
        <v>0</v>
      </c>
      <c r="M31" s="1280">
        <f t="shared" si="8"/>
        <v>0</v>
      </c>
      <c r="N31" s="1279">
        <f t="shared" si="8"/>
        <v>378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31</v>
      </c>
      <c r="AC31" s="1284">
        <f t="shared" si="9"/>
        <v>0</v>
      </c>
      <c r="AD31" s="1284">
        <f t="shared" si="9"/>
        <v>233</v>
      </c>
      <c r="AE31" s="1284">
        <f t="shared" si="9"/>
        <v>0</v>
      </c>
      <c r="AF31" s="1285">
        <f t="shared" si="9"/>
        <v>29</v>
      </c>
      <c r="AG31" s="1285">
        <f t="shared" si="9"/>
        <v>0</v>
      </c>
      <c r="AH31" s="1285">
        <f t="shared" si="9"/>
        <v>2257</v>
      </c>
      <c r="AI31" s="1285">
        <f t="shared" si="9"/>
        <v>0</v>
      </c>
      <c r="AJ31" s="1286">
        <f t="shared" si="9"/>
        <v>0</v>
      </c>
      <c r="AK31" s="1286">
        <f t="shared" si="9"/>
        <v>0</v>
      </c>
      <c r="AL31" s="1278">
        <f t="shared" si="9"/>
        <v>387</v>
      </c>
      <c r="AM31" s="1278">
        <f t="shared" si="9"/>
        <v>561</v>
      </c>
      <c r="AN31" s="1278">
        <f t="shared" si="9"/>
        <v>0</v>
      </c>
      <c r="AO31" s="1278">
        <f t="shared" si="9"/>
        <v>0</v>
      </c>
      <c r="AP31" s="1278">
        <f>IF(ISNUMBER(((Datos!L31/Datos!K31)*11)/factor_trimestre),((Datos!L31/Datos!K31)*11)/factor_trimestre," - ")</f>
        <v>10.622393326916908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-1.3478260869565217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7.2751920469950299E-2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9.1999999999999993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12.59761882261882</v>
      </c>
      <c r="G33" s="1007">
        <f>IF(ISNUMBER(STDEV(G8:G30)),STDEV(G8:G30),"-")</f>
        <v>12.59761882261882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16.97939928266015</v>
      </c>
      <c r="AC33" s="1008">
        <f>IF(ISNUMBER(STDEV(AC8:AC30)),STDEV(AC8:AC30),"-")</f>
        <v>0</v>
      </c>
      <c r="AD33" s="1011"/>
      <c r="AE33" s="1011"/>
      <c r="AF33" s="1011"/>
      <c r="AG33" s="1011"/>
      <c r="AH33" s="1011"/>
      <c r="AI33" s="1011"/>
      <c r="AJ33" s="1012">
        <f>IF(ISNUMBER(STDEV(AJ8:AJ30)),STDEV(AJ8:AJ30),"-")</f>
        <v>0</v>
      </c>
      <c r="AK33" s="1014"/>
      <c r="AL33" s="1006">
        <f>IF(ISNUMBER(STDEV(AL8:AL30)),STDEV(AL8:AL30),"-")</f>
        <v>195.66297554724042</v>
      </c>
      <c r="AM33" s="1006"/>
      <c r="AN33" s="1006">
        <f>IF(ISNUMBER(STDEV(AN8:AN30)),STDEV(AN8:AN30),"-")</f>
        <v>0</v>
      </c>
      <c r="AO33" s="1012">
        <f>IF(ISNUMBER(STDEV(AO8:AO30)),STDEV(AO8:AO30),"-")</f>
        <v>0</v>
      </c>
      <c r="AP33" s="1065">
        <f>IF(ISNUMBER(STDEV(AP8:AP30)),STDEV(AP8:AP30),"-")</f>
        <v>3.9327422960610319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R/qGcKFkF29dv2FTiyy6aFM2qnRvFbeBGMj2eAhfmTOdY4ZUT39h2fw2IjSLkMo1Ln0ql76gf2Tk2rJvlk82fQ==" saltValue="+7gVKV6vKF2LG1O1PVzs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VALDEPEÑAS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xmBuKAMgoL9rxS8M+1ZTnUQJnJf7ha1o53Bg/LaT2DgiOUZbOCd5aHm+u6us0JF7/GyQiYkZMo2NUnraJ4Ndrg==" saltValue="9QWbNwyqaqyFFX8h4XyWJ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VALDEPEÑAS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10</v>
      </c>
      <c r="G10" s="452">
        <f>IF(ISNUMBER(F10/B10),F10/B10," - ")</f>
        <v>10</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376</v>
      </c>
      <c r="E12" s="452">
        <f t="shared" si="0"/>
        <v>188</v>
      </c>
      <c r="F12" s="451">
        <f>IF(ISNUMBER(Datos!N12),Datos!N12," - ")</f>
        <v>551</v>
      </c>
      <c r="G12" s="452">
        <f t="shared" si="1"/>
        <v>275.5</v>
      </c>
      <c r="H12" s="451">
        <f>IF(ISNUMBER(Datos!O12),Datos!O12," - ")</f>
        <v>576</v>
      </c>
      <c r="I12" s="452">
        <f t="shared" si="2"/>
        <v>288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387</v>
      </c>
      <c r="E14" s="1147">
        <f t="shared" si="0"/>
        <v>129</v>
      </c>
      <c r="F14" s="1146">
        <f>SUBTOTAL(9,F9:F13)</f>
        <v>561</v>
      </c>
      <c r="G14" s="1147">
        <f t="shared" si="1"/>
        <v>187</v>
      </c>
      <c r="H14" s="1146">
        <f>SUBTOTAL(9,H9:H13)</f>
        <v>580</v>
      </c>
      <c r="I14" s="1147">
        <f>IF(ISNUMBER(H14/B14),H14/B14," - ")</f>
        <v>193.33333333333334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260</v>
      </c>
      <c r="E17" s="452">
        <f t="shared" si="3"/>
        <v>130</v>
      </c>
      <c r="F17" s="451">
        <f>IF(ISNUMBER(Datos!N17),Datos!N17," - ")</f>
        <v>876</v>
      </c>
      <c r="G17" s="452">
        <f t="shared" si="4"/>
        <v>438</v>
      </c>
      <c r="H17" s="451">
        <f>IF(ISNUMBER(Datos!O17),Datos!O17," - ")</f>
        <v>0</v>
      </c>
      <c r="I17" s="452">
        <f t="shared" si="5"/>
        <v>0</v>
      </c>
    </row>
    <row r="18" spans="1:9">
      <c r="A18" s="450" t="str">
        <f>Datos!A18</f>
        <v>Jdos. Violencia contra la mujer</v>
      </c>
      <c r="B18" s="480">
        <f>Datos!AO18</f>
        <v>1</v>
      </c>
      <c r="C18" s="481">
        <f>Datos!AQ18</f>
        <v>0</v>
      </c>
      <c r="D18" s="451">
        <f>IF(ISNUMBER(Datos!M18),Datos!M18," - ")</f>
        <v>41</v>
      </c>
      <c r="E18" s="452">
        <f>IF(ISNUMBER(D18/B18),D18/B18," - ")</f>
        <v>41</v>
      </c>
      <c r="F18" s="451">
        <f>IF(ISNUMBER(Datos!N18),Datos!N18," - ")</f>
        <v>130</v>
      </c>
      <c r="G18" s="452">
        <f>IF(ISNUMBER(F18/B18),F18/B18," - ")</f>
        <v>130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301</v>
      </c>
      <c r="E23" s="1147">
        <f t="shared" si="3"/>
        <v>100.33333333333333</v>
      </c>
      <c r="F23" s="1146">
        <f>SUBTOTAL(9,F16:F22)</f>
        <v>1006</v>
      </c>
      <c r="G23" s="1147">
        <f t="shared" si="4"/>
        <v>335.33333333333331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688</v>
      </c>
      <c r="E31" s="1085">
        <f>IF(ISNUMBER(D31/B31),D31/B31," - ")</f>
        <v>344</v>
      </c>
      <c r="F31" s="1084">
        <f>SUBTOTAL(9,F8:F30)</f>
        <v>1567</v>
      </c>
      <c r="G31" s="1085">
        <f>IF(ISNUMBER(F31/B31),F31/B31," - ")</f>
        <v>783.5</v>
      </c>
      <c r="H31" s="1084">
        <f>SUBTOTAL(9,H8:H30)</f>
        <v>580</v>
      </c>
      <c r="I31" s="1085">
        <f>IF(ISNUMBER(H31/B31),H31/B31," - ")</f>
        <v>290</v>
      </c>
    </row>
    <row r="34" spans="1:1">
      <c r="A34" s="439" t="str">
        <f>Criterios!A4</f>
        <v>Fecha Informe: 14 abr. 2023</v>
      </c>
    </row>
    <row r="39" spans="1:1">
      <c r="A39" s="462"/>
    </row>
  </sheetData>
  <sheetProtection algorithmName="SHA-512" hashValue="MMDYUDz4yOeqyA7aTuFOYbcjUZ9dQhc0p5CKJ1kMntpR2/G8MqPwqmoI4ugnF/oWDHtJbheqDclShjoEFrhArw==" saltValue="bKhFysROsUxofvZaGYY4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VALDEPEÑAS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377</v>
      </c>
      <c r="C12" s="489">
        <f>IF(ISNUMBER(Datos!Q12),Datos!Q12," - ")</f>
        <v>233</v>
      </c>
      <c r="D12" s="456">
        <f>IF(ISNUMBER(Datos!R12),Datos!R12," - ")</f>
        <v>2257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378</v>
      </c>
      <c r="C14" s="1150">
        <f>SUBTOTAL(9,C9:C13)</f>
        <v>233</v>
      </c>
      <c r="D14" s="1148">
        <f>SUBTOTAL(9,D9:D13)</f>
        <v>2258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83</v>
      </c>
      <c r="C17" s="489">
        <f>IF(ISNUMBER(Datos!Q17),Datos!Q17," - ")</f>
        <v>65</v>
      </c>
      <c r="D17" s="456">
        <f>IF(ISNUMBER(Datos!R17),Datos!R17," - ")</f>
        <v>116</v>
      </c>
    </row>
    <row r="18" spans="1:4">
      <c r="A18" s="450" t="str">
        <f>Datos!A18</f>
        <v>Jdos. Violencia contra la mujer</v>
      </c>
      <c r="B18" s="488">
        <f>IF(ISNUMBER(Datos!P18),Datos!P18," - ")</f>
        <v>2</v>
      </c>
      <c r="C18" s="489">
        <f>IF(ISNUMBER(Datos!Q18),Datos!Q18," - ")</f>
        <v>4</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85</v>
      </c>
      <c r="C23" s="1150">
        <f>SUBTOTAL(9,C16:C22)</f>
        <v>69</v>
      </c>
      <c r="D23" s="1148">
        <f>SUBTOTAL(9,D16:D22)</f>
        <v>116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463</v>
      </c>
      <c r="C31" s="1089">
        <f>SUBTOTAL(9,C8:C30)</f>
        <v>302</v>
      </c>
      <c r="D31" s="1090">
        <f>SUBTOTAL(9,D8:D30)</f>
        <v>2374</v>
      </c>
    </row>
    <row r="32" spans="1:4" ht="7.5" customHeight="1"/>
    <row r="33" spans="1:1" ht="6" customHeight="1"/>
    <row r="34" spans="1:1">
      <c r="A34" s="439" t="str">
        <f>Criterios!A4</f>
        <v>Fecha Informe: 14 abr. 2023</v>
      </c>
    </row>
    <row r="39" spans="1:1">
      <c r="A39" s="462"/>
    </row>
  </sheetData>
  <sheetProtection algorithmName="SHA-512" hashValue="v8+pUCaF+5aJRDDR6VhX7sZW/yR3yIr+2zGFTD9dCGljZW2Ube8NW3l87OYoGqGG/c07jNBbhqLC6ODXBQouBg==" saltValue="xgmcE0teu2uft5Uyood+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VALDEPEÑAS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0.68181818181818177</v>
      </c>
      <c r="D10" s="515">
        <f>IF(ISNUMBER((Datos!K10-Datos!U10)/Datos!U10),(Datos!K10-Datos!U10)/Datos!U10," - ")</f>
        <v>0.40909090909090912</v>
      </c>
      <c r="E10" s="515">
        <f>IF(ISNUMBER((Datos!L10-Datos!V10)/Datos!V10),(Datos!L10-Datos!V10)/Datos!V10," - ")</f>
        <v>0.2608695652173913</v>
      </c>
      <c r="F10" s="515">
        <f>IF(ISNUMBER((Datos!M10-Datos!W10)/Datos!W10),(Datos!M10-Datos!W10)/Datos!W10," - ")</f>
        <v>0.375</v>
      </c>
      <c r="G10" s="516">
        <f>IF(ISNUMBER((Datos!N10-Datos!X10)/Datos!X10),(Datos!N10-Datos!X10)/Datos!X10," - ")</f>
        <v>0.25</v>
      </c>
      <c r="H10" s="514">
        <f>IF(ISNUMBER(((NºAsuntos!G10/NºAsuntos!E10)-Datos!BD10)/Datos!BD10),((NºAsuntos!G10/NºAsuntos!E10)-Datos!BD10)/Datos!BD10," - ")</f>
        <v>-0.16216216216216217</v>
      </c>
      <c r="I10" s="515">
        <f>IF(ISNUMBER(((NºAsuntos!I10/NºAsuntos!G10)-Datos!BE10)/Datos!BE10),((NºAsuntos!I10/NºAsuntos!G10)-Datos!BE10)/Datos!BE10," - ")</f>
        <v>-0.10518934081346425</v>
      </c>
      <c r="J10" s="521">
        <f>IF(ISNUMBER((('Resol  Asuntos'!D10/NºAsuntos!G10)-Datos!BF10)/Datos!BF10),(('Resol  Asuntos'!D10/NºAsuntos!G10)-Datos!BF10)/Datos!BF10," - ")</f>
        <v>-2.4193548387096753E-2</v>
      </c>
      <c r="K10" s="522">
        <f>IF(ISNUMBER((((NºAsuntos!C10+NºAsuntos!E10)/NºAsuntos!G10)-Datos!BG10)/Datos!BG10),(((NºAsuntos!C10+NºAsuntos!E10)/NºAsuntos!G10)-Datos!BG10)/Datos!BG10," - ")</f>
        <v>-5.3763440860215006E-2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-0.19388312397596941</v>
      </c>
      <c r="C12" s="515">
        <f>IF(ISNUMBER(
   IF(J_V="SI",(Datos!J12-Datos!T12)/Datos!T12,(Datos!J12+Datos!Z12-(Datos!T12+Datos!AH12))/(Datos!T12+Datos!AH12))
     ),IF(J_V="SI",(Datos!J12-Datos!T12)/Datos!T12,(Datos!J12+Datos!Z12-(Datos!T12+Datos!AH12))/(Datos!T12+Datos!AH12))," - ")</f>
        <v>0.18575063613231552</v>
      </c>
      <c r="D12" s="515">
        <f>IF(ISNUMBER(
   IF(J_V="SI",(Datos!K12-Datos!U12)/Datos!U12,(Datos!K12+Datos!AA12-(Datos!U12+Datos!AI12))/(Datos!U12+Datos!AI12))
     ),IF(J_V="SI",(Datos!K12-Datos!U12)/Datos!U12,(Datos!K12+Datos!AA12-(Datos!U12+Datos!AI12))/(Datos!U12+Datos!AI12))," - ")</f>
        <v>-5.774278215223097E-2</v>
      </c>
      <c r="E12" s="515">
        <f>IF(ISNUMBER(
   IF(J_V="SI",(Datos!L12-Datos!V12)/Datos!V12,(Datos!L12+Datos!AB12-(Datos!V12+Datos!AJ12))/(Datos!V12+Datos!AJ12))
     ),IF(J_V="SI",(Datos!L12-Datos!V12)/Datos!V12,(Datos!L12+Datos!AB12-(Datos!V12+Datos!AJ12))/(Datos!V12+Datos!AJ12))," - ")</f>
        <v>0.29132791327913277</v>
      </c>
      <c r="F12" s="515">
        <f>IF(ISNUMBER((Datos!M12-Datos!W12)/Datos!W12),(Datos!M12-Datos!W12)/Datos!W12," - ")</f>
        <v>0</v>
      </c>
      <c r="G12" s="516">
        <f>IF(ISNUMBER((Datos!N12-Datos!X12)/Datos!X12),(Datos!N12-Datos!X12)/Datos!X12," - ")</f>
        <v>-8.6235489220563843E-2</v>
      </c>
      <c r="H12" s="514">
        <f>IF(ISNUMBER(((NºAsuntos!G12/NºAsuntos!E12)-Datos!BD12)/Datos!BD12),((NºAsuntos!G12/NºAsuntos!E12)-Datos!BD12)/Datos!BD12," - ")</f>
        <v>-0.20534959954040072</v>
      </c>
      <c r="I12" s="515">
        <f>IF(ISNUMBER(((NºAsuntos!I12/NºAsuntos!G12)-Datos!BE12)/Datos!BE12),((NºAsuntos!I12/NºAsuntos!G12)-Datos!BE12)/Datos!BE12," - ")</f>
        <v>0.37046221437144733</v>
      </c>
      <c r="J12" s="521">
        <f>IF(ISNUMBER((('Resol  Asuntos'!D12/NºAsuntos!G12)-Datos!BF12)/Datos!BF12),(('Resol  Asuntos'!D12/NºAsuntos!G12)-Datos!BF12)/Datos!BF12," - ")</f>
        <v>-0.33823916628556389</v>
      </c>
      <c r="K12" s="522">
        <f>IF(ISNUMBER((((NºAsuntos!C12+NºAsuntos!E12)/NºAsuntos!G12)-Datos!BG12)/Datos!BG12),(((NºAsuntos!C12+NºAsuntos!E12)/NºAsuntos!G12)-Datos!BG12)/Datos!BG12," - ")</f>
        <v>4.1633754257467438E-2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-0.19147788565264293</v>
      </c>
      <c r="C14" s="1152">
        <f>IF(ISNUMBER(
   IF(J_V="SI",(Datos!J14-Datos!T14)/Datos!T14,(Datos!J14+Datos!Z14-(Datos!T14+Datos!AH14))/(Datos!T14+Datos!AH14))
     ),IF(J_V="SI",(Datos!J14-Datos!T14)/Datos!T14,(Datos!J14+Datos!Z14-(Datos!T14+Datos!AH14))/(Datos!T14+Datos!AH14))," - ")</f>
        <v>0.19259723964868256</v>
      </c>
      <c r="D14" s="1152">
        <f>IF(ISNUMBER(
   IF(J_V="SI",(Datos!K14-Datos!U14)/Datos!U14,(Datos!K14+Datos!AA14-(Datos!U14+Datos!AI14))/(Datos!U14+Datos!AI14))
     ),IF(J_V="SI",(Datos!K14-Datos!U14)/Datos!U14,(Datos!K14+Datos!AA14-(Datos!U14+Datos!AI14))/(Datos!U14+Datos!AI14))," - ")</f>
        <v>-5.109961190168176E-2</v>
      </c>
      <c r="E14" s="1152">
        <f>IF(ISNUMBER(
   IF(J_V="SI",(Datos!L14-Datos!V14)/Datos!V14,(Datos!L14+Datos!AB14-(Datos!V14+Datos!AJ14))/(Datos!V14+Datos!AJ14))
     ),IF(J_V="SI",(Datos!L14-Datos!V14)/Datos!V14,(Datos!L14+Datos!AB14-(Datos!V14+Datos!AJ14))/(Datos!V14+Datos!AJ14))," - ")</f>
        <v>0.29086057371581053</v>
      </c>
      <c r="F14" s="1153">
        <f>IF(ISNUMBER((Datos!M14-Datos!W14)/Datos!W14),(Datos!M14-Datos!W14)/Datos!W14," - ")</f>
        <v>7.8125E-3</v>
      </c>
      <c r="G14" s="1154">
        <f>IF(ISNUMBER((Datos!N14-Datos!X14)/Datos!X14),(Datos!N14-Datos!X14)/Datos!X14," - ")</f>
        <v>-8.1833060556464818E-2</v>
      </c>
      <c r="H14" s="1154">
        <f>IF(ISNUMBER(((NºAsuntos!G14/NºAsuntos!E14)-Datos!BD14)/Datos!BD14),((NºAsuntos!G14/NºAsuntos!E14)-Datos!BD14)/Datos!BD14," - ")</f>
        <v>-0.20434128425632864</v>
      </c>
      <c r="I14" s="1154">
        <f>IF(ISNUMBER(((NºAsuntos!I14/NºAsuntos!G14)-Datos!BE14)/Datos!BE14),((NºAsuntos!I14/NºAsuntos!G14)-Datos!BE14)/Datos!BE14," - ")</f>
        <v>0.36037521947146756</v>
      </c>
      <c r="J14" s="1154">
        <f>IF(ISNUMBER((('Resol  Asuntos'!D14/NºAsuntos!G14)-Datos!BF14)/Datos!BF14),(('Resol  Asuntos'!D14/NºAsuntos!G14)-Datos!BF14)/Datos!BF14," - ")</f>
        <v>-0.33250328838372178</v>
      </c>
      <c r="K14" s="1154">
        <f>IF(ISNUMBER((((NºAsuntos!C14+NºAsuntos!E14)/NºAsuntos!G14)-Datos!BG14)/Datos!BG14),(((NºAsuntos!C14+NºAsuntos!E14)/NºAsuntos!G14)-Datos!BG14)/Datos!BG14," - ")</f>
        <v>3.9180612294927669E-2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5.9107358262967431E-2</v>
      </c>
      <c r="C17" s="515">
        <f>IF(ISNUMBER(
   IF(D_I="SI",(Datos!J17-Datos!T17)/Datos!T17,(Datos!J17+Datos!AD17-(Datos!T17+Datos!AL17))/(Datos!T17+Datos!AL17))
     ),IF(D_I="SI",(Datos!J17-Datos!T17)/Datos!T17,(Datos!J17+Datos!AD17-(Datos!T17+Datos!AL17))/(Datos!T17+Datos!AL17))," - ")</f>
        <v>0.12129565816678153</v>
      </c>
      <c r="D17" s="515">
        <f>IF(ISNUMBER(
   IF(D_I="SI",(Datos!K17-Datos!U17)/Datos!U17,(Datos!K17+Datos!AE17-(Datos!U17+Datos!AM17))/(Datos!U17+Datos!AM17))
     ),IF(D_I="SI",(Datos!K17-Datos!U17)/Datos!U17,(Datos!K17+Datos!AE17-(Datos!U17+Datos!AM17))/(Datos!U17+Datos!AM17))," - ")</f>
        <v>0.11249086924762601</v>
      </c>
      <c r="E17" s="515">
        <f>IF(ISNUMBER(
   IF(D_I="SI",(Datos!L17-Datos!V17)/Datos!V17,(Datos!L17+Datos!AF17-(Datos!V17+Datos!AN17))/(Datos!V17+Datos!AN17))
     ),IF(D_I="SI",(Datos!L17-Datos!V17)/Datos!V17,(Datos!L17+Datos!AF17-(Datos!V17+Datos!AN17))/(Datos!V17+Datos!AN17))," - ")</f>
        <v>0.15261958997722094</v>
      </c>
      <c r="F17" s="515">
        <f>IF(ISNUMBER((Datos!M17-Datos!W17)/Datos!W17),(Datos!M17-Datos!W17)/Datos!W17," - ")</f>
        <v>8.7866108786610872E-2</v>
      </c>
      <c r="G17" s="516">
        <f>IF(ISNUMBER((Datos!N17-Datos!X17)/Datos!X17),(Datos!N17-Datos!X17)/Datos!X17," - ")</f>
        <v>0.32526475037821484</v>
      </c>
      <c r="H17" s="514">
        <f>IF(ISNUMBER(((NºAsuntos!G17/NºAsuntos!E17)-Datos!BD17)/Datos!BD17),((NºAsuntos!G17/NºAsuntos!E17)-Datos!BD17)/Datos!BD17," - ")</f>
        <v>-7.8523348012874052E-3</v>
      </c>
      <c r="I17" s="515">
        <f>IF(ISNUMBER(((NºAsuntos!I17/NºAsuntos!G17)-Datos!BE17)/Datos!BE17),((NºAsuntos!I17/NºAsuntos!G17)-Datos!BE17)/Datos!BE17," - ")</f>
        <v>3.6071056256609023E-2</v>
      </c>
      <c r="J17" s="521">
        <f>IF(ISNUMBER((('Resol  Asuntos'!D17/NºAsuntos!G17)-Datos!BF17)/Datos!BF17),(('Resol  Asuntos'!D17/NºAsuntos!G17)-Datos!BF17)/Datos!BF17," - ")</f>
        <v>-2.2134797814267589E-2</v>
      </c>
      <c r="K17" s="522">
        <f>IF(ISNUMBER((((NºAsuntos!C17+NºAsuntos!E17)/NºAsuntos!G17)-Datos!BG17)/Datos!BG17),(((NºAsuntos!C17+NºAsuntos!E17)/NºAsuntos!G17)-Datos!BG17)/Datos!BG17," - ")</f>
        <v>-1.241058160832146E-2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0.30645161290322581</v>
      </c>
      <c r="C18" s="515">
        <f>IF(ISNUMBER(
   IF(D_I="SI",(Datos!J18-Datos!T18)/Datos!T18,(Datos!J18+Datos!AD18-(Datos!T18+Datos!AL18))/(Datos!T18+Datos!AL18))
     ),IF(D_I="SI",(Datos!J18-Datos!T18)/Datos!T18,(Datos!J18+Datos!AD18-(Datos!T18+Datos!AL18))/(Datos!T18+Datos!AL18))," - ")</f>
        <v>0.40196078431372551</v>
      </c>
      <c r="D18" s="515">
        <f>IF(ISNUMBER(
   IF(D_I="SI",(Datos!K18-Datos!U18)/Datos!U18,(Datos!K18+Datos!AE18-(Datos!U18+Datos!AM18))/(Datos!U18+Datos!AM18))
     ),IF(D_I="SI",(Datos!K18-Datos!U18)/Datos!U18,(Datos!K18+Datos!AE18-(Datos!U18+Datos!AM18))/(Datos!U18+Datos!AM18))," - ")</f>
        <v>0.27918781725888325</v>
      </c>
      <c r="E18" s="515">
        <f>IF(ISNUMBER(
   IF(D_I="SI",(Datos!L18-Datos!V18)/Datos!V18,(Datos!L18+Datos!AF18-(Datos!V18+Datos!AN18))/(Datos!V18+Datos!AN18))
     ),IF(D_I="SI",(Datos!L18-Datos!V18)/Datos!V18,(Datos!L18+Datos!AF18-(Datos!V18+Datos!AN18))/(Datos!V18+Datos!AN18))," - ")</f>
        <v>0.43209876543209874</v>
      </c>
      <c r="F18" s="515">
        <f>IF(ISNUMBER((Datos!M18-Datos!W18)/Datos!W18),(Datos!M18-Datos!W18)/Datos!W18," - ")</f>
        <v>1.2777777777777777</v>
      </c>
      <c r="G18" s="516">
        <f>IF(ISNUMBER((Datos!N18-Datos!X18)/Datos!X18),(Datos!N18-Datos!X18)/Datos!X18," - ")</f>
        <v>5.6910569105691054E-2</v>
      </c>
      <c r="H18" s="514">
        <f>IF(ISNUMBER(((NºAsuntos!G18/NºAsuntos!E18)-Datos!BD18)/Datos!BD18),((NºAsuntos!G18/NºAsuntos!E18)-Datos!BD18)/Datos!BD18," - ")</f>
        <v>-8.7572326151006338E-2</v>
      </c>
      <c r="I18" s="515">
        <f>IF(ISNUMBER(((NºAsuntos!I18/NºAsuntos!G18)-Datos!BE18)/Datos!BE18),((NºAsuntos!I18/NºAsuntos!G18)-Datos!BE18)/Datos!BE18," - ")</f>
        <v>0.11953752694493426</v>
      </c>
      <c r="J18" s="521">
        <f>IF(ISNUMBER((('Resol  Asuntos'!D18/NºAsuntos!G18)-Datos!BF18)/Datos!BF18),(('Resol  Asuntos'!D18/NºAsuntos!G18)-Datos!BF18)/Datos!BF18," - ")</f>
        <v>0.7806437389770724</v>
      </c>
      <c r="K18" s="522">
        <f>IF(ISNUMBER((((NºAsuntos!C18+NºAsuntos!E18)/NºAsuntos!G18)-Datos!BG18)/Datos!BG18),(((NºAsuntos!C18+NºAsuntos!E18)/NºAsuntos!G18)-Datos!BG18)/Datos!BG18," - ")</f>
        <v>7.8574412221028678E-2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7.6318742985409652E-2</v>
      </c>
      <c r="C23" s="1152">
        <f>IF(ISNUMBER(
   IF(Criterios!B14="SI",(Datos!J23-Datos!T23)/Datos!T23,(Datos!J23+Datos!AD23-(Datos!T23+Datos!AL23))/(Datos!T23+Datos!AL23))
     ),IF(Criterios!B14="SI",(Datos!J23-Datos!T23)/Datos!T23,(Datos!J23+Datos!AD23-(Datos!T23+Datos!AL23))/(Datos!T23+Datos!AL23))," - ")</f>
        <v>0.15589123867069488</v>
      </c>
      <c r="D23" s="1152">
        <f>IF(ISNUMBER(
   IF(Criterios!B14="SI",(Datos!K23-Datos!U23)/Datos!U23,(Datos!K23+Datos!AE23-(Datos!U23+Datos!AM23))/(Datos!U23+Datos!AM23))
     ),IF(Criterios!B14="SI",(Datos!K23-Datos!U23)/Datos!U23,(Datos!K23+Datos!AE23-(Datos!U23+Datos!AM23))/(Datos!U23+Datos!AM23))," - ")</f>
        <v>0.1334610472541507</v>
      </c>
      <c r="E23" s="1152">
        <f>IF(ISNUMBER(
   IF(Criterios!B14="SI",(Datos!L23-Datos!V23)/Datos!V23,(Datos!L23+Datos!AF23-(Datos!V23+Datos!AN23))/(Datos!V23+Datos!AN23))
     ),IF(Criterios!B14="SI",(Datos!L23-Datos!V23)/Datos!V23,(Datos!L23+Datos!AF23-(Datos!V23+Datos!AN23))/(Datos!V23+Datos!AN23))," - ")</f>
        <v>0.17622523461939521</v>
      </c>
      <c r="F23" s="1153">
        <f>IF(ISNUMBER((Datos!M23-Datos!W23)/Datos!W23),(Datos!M23-Datos!W23)/Datos!W23," - ")</f>
        <v>0.17120622568093385</v>
      </c>
      <c r="G23" s="1154">
        <f>IF(ISNUMBER((Datos!N23-Datos!X23)/Datos!X23),(Datos!N23-Datos!X23)/Datos!X23," - ")</f>
        <v>0.28316326530612246</v>
      </c>
      <c r="H23" s="1154">
        <f>IF(ISNUMBER(((NºAsuntos!G23/NºAsuntos!E23)-Datos!BD23)/Datos!BD23),((NºAsuntos!G23/NºAsuntos!E23)-Datos!BD23)/Datos!BD23," - ")</f>
        <v>-1.9405105485823585E-2</v>
      </c>
      <c r="I23" s="1154">
        <f>IF(ISNUMBER(((NºAsuntos!I23/NºAsuntos!G23)-Datos!BE23)/Datos!BE23),((NºAsuntos!I23/NºAsuntos!G23)-Datos!BE23)/Datos!BE23," - ")</f>
        <v>3.7728854881111468E-2</v>
      </c>
      <c r="J23" s="1154">
        <f>IF(ISNUMBER((('Resol  Asuntos'!D23/NºAsuntos!G23)-Datos!BF23)/Datos!BF23),(('Resol  Asuntos'!D23/NºAsuntos!G23)-Datos!BF23)/Datos!BF23," - ")</f>
        <v>3.3300816572587245E-2</v>
      </c>
      <c r="K23" s="1154">
        <f>IF(ISNUMBER((((NºAsuntos!C23+NºAsuntos!E23)/NºAsuntos!G23)-Datos!BG23)/Datos!BG23),(((NºAsuntos!C23+NºAsuntos!E23)/NºAsuntos!G23)-Datos!BG23)/Datos!BG23," - ")</f>
        <v>-4.7792173306927671E-3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-0.10455373406193079</v>
      </c>
      <c r="C31" s="1092">
        <f>IF(ISNUMBER(
   IF(J_V="SI",(Datos!J31-Datos!T31)/Datos!T31,(Datos!J31+Datos!Z31-(Datos!T31+Datos!AH31))/(Datos!T31+Datos!AH31))
     ),IF(J_V="SI",(Datos!J31-Datos!T31)/Datos!T31,(Datos!J31+Datos!Z31-(Datos!T31+Datos!AH31))/(Datos!T31+Datos!AH31))," - ")</f>
        <v>0.17389966143428748</v>
      </c>
      <c r="D31" s="1092">
        <f>IF(ISNUMBER(
   IF(J_V="SI",(Datos!K31-Datos!U31)/Datos!U31,(Datos!K31+Datos!AA31-(Datos!U31+Datos!AI31))/(Datos!U31+Datos!AI31))
     ),IF(J_V="SI",(Datos!K31-Datos!U31)/Datos!U31,(Datos!K31+Datos!AA31-(Datos!U31+Datos!AI31))/(Datos!U31+Datos!AI31))," - ")</f>
        <v>4.1773778920308487E-2</v>
      </c>
      <c r="E31" s="1092">
        <f>IF(ISNUMBER(
   IF(J_V="SI",(Datos!L31-Datos!V31)/Datos!V31,(Datos!L31+Datos!AB31-(Datos!V31+Datos!AJ31))/(Datos!V31+Datos!AJ31))
     ),IF(J_V="SI",(Datos!L31-Datos!V31)/Datos!V31,(Datos!L31+Datos!AB31-(Datos!V31+Datos!AJ31))/(Datos!V31+Datos!AJ31))," - ")</f>
        <v>0.24613506916192027</v>
      </c>
      <c r="F31" s="1093">
        <f>IF(ISNUMBER((Datos!M31-Datos!W31)/Datos!W31),(Datos!M31-Datos!W31)/Datos!W31," - ")</f>
        <v>7.3322932917316688E-2</v>
      </c>
      <c r="G31" s="1094">
        <f>IF(ISNUMBER((Datos!N31-Datos!X31)/Datos!X31),(Datos!N31-Datos!X31)/Datos!X31," - ")</f>
        <v>0.12329749103942653</v>
      </c>
      <c r="H31" s="1095">
        <f>IF(ISNUMBER((Tasas!B31-Datos!BD31)/Datos!BD31),(Tasas!B31-Datos!BD31)/Datos!BD31," - ")</f>
        <v>-0.11255296074670094</v>
      </c>
      <c r="I31" s="1096">
        <f>IF(ISNUMBER((Tasas!C31-Datos!BE31)/Datos!BE31),(Tasas!C31-Datos!BE31)/Datos!BE31," - ")</f>
        <v>0.19616666725228124</v>
      </c>
      <c r="J31" s="1097">
        <f>IF(ISNUMBER((Tasas!D31-Datos!BF31)/Datos!BF31),(Tasas!D31-Datos!BF31)/Datos!BF31," - ")</f>
        <v>-0.23915657684139902</v>
      </c>
      <c r="K31" s="1097">
        <f>IF(ISNUMBER((Tasas!E31-Datos!BG31)/Datos!BG31),(Tasas!E31-Datos!BG31)/Datos!BG31," - ")</f>
        <v>4.4212421345878293E-3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swaJSKfv7qXc3aLBSwAZ6ClDOxQtPh6Zs1dYGk9x9H5+GHQQLB3LQ3RYqjkFeqzDZ5MEBvoftGiKjBNrl+zMA==" saltValue="O3+z1a0tUhkH+4DFIU6Qs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VALDEPEÑAS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0.83783783783783783</v>
      </c>
      <c r="C10" s="498">
        <f>IF(ISNUMBER(NºAsuntos!I10/NºAsuntos!G10),NºAsuntos!I10/NºAsuntos!G10," - ")</f>
        <v>0.93548387096774188</v>
      </c>
      <c r="D10" s="499">
        <f>IF(ISNUMBER('Resol  Asuntos'!D10/NºAsuntos!G10),'Resol  Asuntos'!D10/NºAsuntos!G10," - ")</f>
        <v>0.35483870967741937</v>
      </c>
      <c r="E10" s="500">
        <f>IF(ISNUMBER((NºAsuntos!C10+NºAsuntos!E10)/NºAsuntos!G10),(NºAsuntos!C10+NºAsuntos!E10)/NºAsuntos!G10," - ")</f>
        <v>1.935483870967742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0.77038626609442062</v>
      </c>
      <c r="C12" s="498">
        <f>IF(ISNUMBER(NºAsuntos!I12/NºAsuntos!G12),NºAsuntos!I12/NºAsuntos!G12," - ")</f>
        <v>1.3272980501392757</v>
      </c>
      <c r="D12" s="499">
        <f>IF(ISNUMBER('Resol  Asuntos'!D12/NºAsuntos!G12),'Resol  Asuntos'!D12/NºAsuntos!G12," - ")</f>
        <v>0.2618384401114206</v>
      </c>
      <c r="E12" s="500">
        <f>IF(ISNUMBER((NºAsuntos!C12+NºAsuntos!E12)/NºAsuntos!G12),(NºAsuntos!C12+NºAsuntos!E12)/NºAsuntos!G12," - ")</f>
        <v>2.3259052924791086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0.77169910573382428</v>
      </c>
      <c r="C14" s="1156">
        <f>IF(ISNUMBER(NºAsuntos!I14/NºAsuntos!G14),NºAsuntos!I14/NºAsuntos!G14," - ")</f>
        <v>1.3190184049079754</v>
      </c>
      <c r="D14" s="1157">
        <f>IF(ISNUMBER('Resol  Asuntos'!D14/NºAsuntos!G14),'Resol  Asuntos'!D14/NºAsuntos!G14," - ")</f>
        <v>0.26380368098159507</v>
      </c>
      <c r="E14" s="1158">
        <f>IF(ISNUMBER((NºAsuntos!C14+NºAsuntos!E14)/NºAsuntos!G14),(NºAsuntos!C14+NºAsuntos!E14)/NºAsuntos!G14," - ")</f>
        <v>2.3176550783912746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0.93607867240319609</v>
      </c>
      <c r="C17" s="498">
        <f>IF(ISNUMBER(NºAsuntos!I17/NºAsuntos!G17),NºAsuntos!I17/NºAsuntos!G17," - ")</f>
        <v>0.66447800393959289</v>
      </c>
      <c r="D17" s="499">
        <f>IF(ISNUMBER('Resol  Asuntos'!D17/NºAsuntos!G17),'Resol  Asuntos'!D17/NºAsuntos!G17," - ")</f>
        <v>0.17071569271175313</v>
      </c>
      <c r="E17" s="500">
        <f>IF(ISNUMBER((NºAsuntos!C17+NºAsuntos!E17)/NºAsuntos!G17),(NºAsuntos!C17+NºAsuntos!E17)/NºAsuntos!G17," - ")</f>
        <v>1.6447800393959291</v>
      </c>
      <c r="G17" s="523"/>
    </row>
    <row r="18" spans="1:7">
      <c r="A18" s="450" t="str">
        <f>Datos!A18</f>
        <v>Jdos. Violencia contra la mujer</v>
      </c>
      <c r="B18" s="497">
        <f>IF(ISNUMBER(NºAsuntos!G18/NºAsuntos!E18),NºAsuntos!G18/NºAsuntos!E18," - ")</f>
        <v>0.88111888111888115</v>
      </c>
      <c r="C18" s="498">
        <f>IF(ISNUMBER(NºAsuntos!I18/NºAsuntos!G18),NºAsuntos!I18/NºAsuntos!G18," - ")</f>
        <v>0.46031746031746029</v>
      </c>
      <c r="D18" s="499">
        <f>IF(ISNUMBER('Resol  Asuntos'!D18/NºAsuntos!G18),'Resol  Asuntos'!D18/NºAsuntos!G18," - ")</f>
        <v>0.1626984126984127</v>
      </c>
      <c r="E18" s="500">
        <f>IF(ISNUMBER((NºAsuntos!C18+NºAsuntos!E18)/NºAsuntos!G18),(NºAsuntos!C18+NºAsuntos!E18)/NºAsuntos!G18," - ")</f>
        <v>1.4563492063492063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0.92786199686356507</v>
      </c>
      <c r="C23" s="1156">
        <f>IF(ISNUMBER(NºAsuntos!I23/NºAsuntos!G23),NºAsuntos!I23/NºAsuntos!G23," - ")</f>
        <v>0.63549295774647885</v>
      </c>
      <c r="D23" s="1159">
        <f>IF(ISNUMBER('Resol  Asuntos'!D23/NºAsuntos!G23),'Resol  Asuntos'!D23/NºAsuntos!G23," - ")</f>
        <v>0.1695774647887324</v>
      </c>
      <c r="E23" s="1158">
        <f>IF(ISNUMBER((NºAsuntos!C23+NºAsuntos!E23)/NºAsuntos!G23),(NºAsuntos!C23+NºAsuntos!E23)/NºAsuntos!G23," - ")</f>
        <v>1.6180281690140845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0.85002621919244892</v>
      </c>
      <c r="C31" s="1099">
        <f>IF(ISNUMBER(NºAsuntos!I31/NºAsuntos!G31),NºAsuntos!I31/NºAsuntos!G31," - ")</f>
        <v>0.9447871684145589</v>
      </c>
      <c r="D31" s="1100">
        <f>IF(ISNUMBER('Resol  Asuntos'!D31/NºAsuntos!G31),'Resol  Asuntos'!D31/NºAsuntos!G31," - ")</f>
        <v>0.21221468229487969</v>
      </c>
      <c r="E31" s="1101">
        <f>IF(ISNUMBER((NºAsuntos!C31+NºAsuntos!E31)/NºAsuntos!G31),(NºAsuntos!C31+NºAsuntos!E31)/NºAsuntos!G31," - ")</f>
        <v>1.9346082665021591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d5EgQRhaARNT/ZWdOSe8U8NPwzAYl+kw3CBgkI5KAaVrNEkKpeA56Lp63FxgDMarZgV/sR4wDEiHmTicaf+Hw==" saltValue="PfN812uWYxtL1jZ0xsZnp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VALDEPEÑAS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23</v>
      </c>
      <c r="G10" s="373">
        <f>IF(ISNUMBER(Datos!I10),Datos!I10," - ")</f>
        <v>23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31</v>
      </c>
      <c r="X10" s="240">
        <f>IF(ISNUMBER(Datos!Q10),Datos!Q10," - ")</f>
        <v>0</v>
      </c>
      <c r="Y10" s="374">
        <f t="shared" ref="Y10:Y13" si="0">SUM(W10:X10)</f>
        <v>31</v>
      </c>
      <c r="Z10" s="375" t="str">
        <f>IF(ISNUMBER(Datos!CC10),Datos!CC10," - ")</f>
        <v xml:space="preserve"> - </v>
      </c>
      <c r="AA10" s="372">
        <f>IF(ISNUMBER(Datos!L10),Datos!L10,"-")</f>
        <v>29</v>
      </c>
      <c r="AB10" s="374">
        <f>IF(ISNUMBER(Datos!R10),Datos!R10," - ")</f>
        <v>1</v>
      </c>
      <c r="AC10" s="374">
        <f t="shared" ref="AC10:AC13" si="1">IF(ISNUMBER(AA10+AB10),AA10+AB10," - ")</f>
        <v>30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0.83783783783783783</v>
      </c>
      <c r="AM10" s="284">
        <f>IF(ISNUMBER(((NºAsuntos!I10/NºAsuntos!G10)*11)/factor_trimestre),((NºAsuntos!I10/NºAsuntos!G10)*11)/factor_trimestre," - ")</f>
        <v>10.29032258064516</v>
      </c>
      <c r="AN10" s="267">
        <f>IF(ISNUMBER('Resol  Asuntos'!D10/NºAsuntos!G10),'Resol  Asuntos'!D10/NºAsuntos!G10," - ")</f>
        <v>0.35483870967741937</v>
      </c>
      <c r="AO10" s="268">
        <f>IF(ISNUMBER((NºAsuntos!C10+NºAsuntos!E10)/NºAsuntos!G10),(NºAsuntos!C10+NºAsuntos!E10)/NºAsuntos!G10," - ")</f>
        <v>1.935483870967742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377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233</v>
      </c>
      <c r="Y12" s="374">
        <f t="shared" si="0"/>
        <v>233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2257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376</v>
      </c>
      <c r="AJ12" s="243" t="str">
        <f>IF(ISNUMBER(Datos!BW12),Datos!BW12," - ")</f>
        <v xml:space="preserve"> - </v>
      </c>
      <c r="AK12" s="242" t="str">
        <f>IF(ISNUMBER(Datos!BX12),Datos!BX12," - ")</f>
        <v xml:space="preserve"> - </v>
      </c>
      <c r="AL12" s="266">
        <f>IF(ISNUMBER(NºAsuntos!G12/NºAsuntos!E12),NºAsuntos!G12/NºAsuntos!E12," - ")</f>
        <v>0.77038626609442062</v>
      </c>
      <c r="AM12" s="284">
        <f>IF(ISNUMBER(((NºAsuntos!I12/NºAsuntos!G12)*11)/factor_trimestre),((NºAsuntos!I12/NºAsuntos!G12)*11)/factor_trimestre," - ")</f>
        <v>14.600278551532032</v>
      </c>
      <c r="AN12" s="267">
        <f>IF(ISNUMBER('Resol  Asuntos'!D12/NºAsuntos!G12),'Resol  Asuntos'!D12/NºAsuntos!G12," - ")</f>
        <v>0.2618384401114206</v>
      </c>
      <c r="AO12" s="268">
        <f>IF(ISNUMBER((NºAsuntos!C12+NºAsuntos!E12)/NºAsuntos!G12),(NºAsuntos!C12+NºAsuntos!E12)/NºAsuntos!G12," - ")</f>
        <v>2.3259052924791086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23</v>
      </c>
      <c r="G14" s="1163">
        <f t="shared" si="5"/>
        <v>23</v>
      </c>
      <c r="H14" s="1162">
        <f t="shared" si="5"/>
        <v>0</v>
      </c>
      <c r="I14" s="1164">
        <f t="shared" si="5"/>
        <v>0</v>
      </c>
      <c r="J14" s="1164">
        <f t="shared" si="5"/>
        <v>0</v>
      </c>
      <c r="K14" s="1164">
        <f t="shared" si="5"/>
        <v>0</v>
      </c>
      <c r="L14" s="1164">
        <f t="shared" si="5"/>
        <v>378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31</v>
      </c>
      <c r="X14" s="1164">
        <f t="shared" si="6"/>
        <v>233</v>
      </c>
      <c r="Y14" s="1165">
        <f t="shared" si="6"/>
        <v>264</v>
      </c>
      <c r="Z14" s="1165">
        <f t="shared" si="6"/>
        <v>0</v>
      </c>
      <c r="AA14" s="1165">
        <f t="shared" si="6"/>
        <v>29</v>
      </c>
      <c r="AB14" s="1165">
        <f t="shared" si="6"/>
        <v>2258</v>
      </c>
      <c r="AC14" s="1165">
        <f t="shared" si="6"/>
        <v>30</v>
      </c>
      <c r="AD14" s="1165">
        <f t="shared" si="6"/>
        <v>0</v>
      </c>
      <c r="AE14" s="1169">
        <f t="shared" si="6"/>
        <v>0</v>
      </c>
      <c r="AF14" s="1162">
        <f t="shared" si="6"/>
        <v>0</v>
      </c>
      <c r="AG14" s="1170">
        <f t="shared" si="6"/>
        <v>0</v>
      </c>
      <c r="AH14" s="1167">
        <f t="shared" si="6"/>
        <v>0</v>
      </c>
      <c r="AI14" s="1162">
        <f t="shared" si="6"/>
        <v>387</v>
      </c>
      <c r="AJ14" s="1164">
        <f t="shared" si="6"/>
        <v>0</v>
      </c>
      <c r="AK14" s="1167">
        <f>SUBTOTAL(9,AK9:AK13)</f>
        <v>0</v>
      </c>
      <c r="AL14" s="1171">
        <f>IF(ISNUMBER(NºAsuntos!G14/NºAsuntos!E14),NºAsuntos!G14/NºAsuntos!E14," - ")</f>
        <v>0.77169910573382428</v>
      </c>
      <c r="AM14" s="1171">
        <f>IF(ISNUMBER(((NºAsuntos!I14/NºAsuntos!G14)*11)/factor_trimestre),((NºAsuntos!I14/NºAsuntos!G14)*11)/factor_trimestre," - ")</f>
        <v>14.509202453987729</v>
      </c>
      <c r="AN14" s="1172">
        <f>IF(ISNUMBER('Resol  Asuntos'!D14/NºAsuntos!G14),'Resol  Asuntos'!D14/NºAsuntos!G14," - ")</f>
        <v>0.26380368098159507</v>
      </c>
      <c r="AO14" s="1173">
        <f>IF(ISNUMBER((NºAsuntos!C14+NºAsuntos!E14)/NºAsuntos!G14),(NºAsuntos!C14+NºAsuntos!E14)/NºAsuntos!G14," - ")</f>
        <v>2.3176550783912746</v>
      </c>
      <c r="AP14" s="1174" t="str">
        <f t="shared" si="2"/>
        <v xml:space="preserve"> - </v>
      </c>
      <c r="AQ14" s="1174">
        <f>IF(ISNUMBER((H14-W14+K14)/(F14)),(H14-W14+K14)/(F14)," - ")</f>
        <v>-1.3478260869565217</v>
      </c>
      <c r="AR14" s="1175">
        <f>IF(ISNUMBER((Datos!P14-Datos!Q14)/(Datos!R14-Datos!P14+Datos!Q14)),(Datos!P14-Datos!Q14)/(Datos!R14-Datos!P14+Datos!Q14)," - ")</f>
        <v>6.8622811168954093E-2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908</v>
      </c>
      <c r="G17" s="373">
        <f>IF(ISNUMBER(IF(D_I="SI",Datos!I17,Datos!I17+Datos!AC17)),IF(D_I="SI",Datos!I17,Datos!I17+Datos!AC17)," - ")</f>
        <v>878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1523</v>
      </c>
      <c r="X17" s="240">
        <f>IF(ISNUMBER(Datos!Q17),Datos!Q17," - ")</f>
        <v>65</v>
      </c>
      <c r="Y17" s="374">
        <f t="shared" ref="Y17:Y22" si="9">SUM(W17:X17)</f>
        <v>1588</v>
      </c>
      <c r="Z17" s="375" t="str">
        <f>IF(ISNUMBER(Datos!CC17),Datos!CC17," - ")</f>
        <v xml:space="preserve"> - </v>
      </c>
      <c r="AA17" s="372">
        <f>IF(ISNUMBER(IF(D_I="SI",Datos!L17,Datos!L17+Datos!AF17)),IF(D_I="SI",Datos!L17,Datos!L17+Datos!AF17)," - ")</f>
        <v>1012</v>
      </c>
      <c r="AB17" s="374">
        <f>IF(ISNUMBER(Datos!R17),Datos!R17," - ")</f>
        <v>116</v>
      </c>
      <c r="AC17" s="374">
        <f t="shared" si="8"/>
        <v>1128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260</v>
      </c>
      <c r="AJ17" s="245" t="str">
        <f>IF(ISNUMBER(Datos!BW17),Datos!BW17," - ")</f>
        <v xml:space="preserve"> - </v>
      </c>
      <c r="AK17" s="246" t="str">
        <f>IF(ISNUMBER(Datos!BX17),Datos!BX17," - ")</f>
        <v xml:space="preserve"> - </v>
      </c>
      <c r="AL17" s="266">
        <f>IF(ISNUMBER(NºAsuntos!G17/NºAsuntos!E17),NºAsuntos!G17/NºAsuntos!E17," - ")</f>
        <v>0.93607867240319609</v>
      </c>
      <c r="AM17" s="284">
        <f>IF(ISNUMBER(((NºAsuntos!I17/NºAsuntos!G17)*11)/factor_trimestre),((NºAsuntos!I17/NºAsuntos!G17)*11)/factor_trimestre," - ")</f>
        <v>7.3092580433355216</v>
      </c>
      <c r="AN17" s="267">
        <f>IF(ISNUMBER('Resol  Asuntos'!D17/NºAsuntos!G17),'Resol  Asuntos'!D17/NºAsuntos!G17," - ")</f>
        <v>0.17071569271175313</v>
      </c>
      <c r="AO17" s="268">
        <f>IF(ISNUMBER((NºAsuntos!C17+NºAsuntos!E17)/NºAsuntos!G17),(NºAsuntos!C17+NºAsuntos!E17)/NºAsuntos!G17," - ")</f>
        <v>1.6447800393959291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252</v>
      </c>
      <c r="X18" s="240">
        <f>IF(ISNUMBER(Datos!Q18),Datos!Q18," - ")</f>
        <v>4</v>
      </c>
      <c r="Y18" s="374">
        <f t="shared" si="9"/>
        <v>256</v>
      </c>
      <c r="Z18" s="375" t="str">
        <f>IF(ISNUMBER(Datos!CC18),Datos!CC18," - ")</f>
        <v xml:space="preserve"> - </v>
      </c>
      <c r="AA18" s="372">
        <f>IF(ISNUMBER(Datos!L18),Datos!L18,"-")</f>
        <v>116</v>
      </c>
      <c r="AB18" s="374">
        <f>IF(ISNUMBER(Datos!R18),Datos!R18," - ")</f>
        <v>0</v>
      </c>
      <c r="AC18" s="374">
        <f t="shared" si="8"/>
        <v>116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41</v>
      </c>
      <c r="AJ18" s="245" t="str">
        <f>IF(ISNUMBER(Datos!BW18),Datos!BW18," - ")</f>
        <v xml:space="preserve"> - </v>
      </c>
      <c r="AK18" s="246" t="str">
        <f>IF(ISNUMBER(Datos!BX18),Datos!BX18," - ")</f>
        <v xml:space="preserve"> - </v>
      </c>
      <c r="AL18" s="266">
        <f>IF(ISNUMBER(NºAsuntos!G18/NºAsuntos!E18),NºAsuntos!G18/NºAsuntos!E18," - ")</f>
        <v>0.88111888111888115</v>
      </c>
      <c r="AM18" s="284">
        <f>IF(ISNUMBER(((NºAsuntos!I18/NºAsuntos!G18)*11)/factor_trimestre),((NºAsuntos!I18/NºAsuntos!G18)*11)/factor_trimestre," - ")</f>
        <v>5.0634920634920633</v>
      </c>
      <c r="AN18" s="267">
        <f>IF(ISNUMBER('Resol  Asuntos'!D18/NºAsuntos!G18),'Resol  Asuntos'!D18/NºAsuntos!G18," - ")</f>
        <v>0.1626984126984127</v>
      </c>
      <c r="AO18" s="268">
        <f>IF(ISNUMBER((NºAsuntos!C18+NºAsuntos!E18)/NºAsuntos!G18),(NºAsuntos!C18+NºAsuntos!E18)/NºAsuntos!G18," - ")</f>
        <v>1.4563492063492063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908</v>
      </c>
      <c r="G23" s="1163">
        <f>SUBTOTAL(9,G16:G22)</f>
        <v>959</v>
      </c>
      <c r="H23" s="1162">
        <f t="shared" ref="H23:O23" si="13">SUBTOTAL(9,H15:H22)</f>
        <v>0</v>
      </c>
      <c r="I23" s="1164">
        <f t="shared" si="13"/>
        <v>0</v>
      </c>
      <c r="J23" s="1164">
        <f t="shared" si="13"/>
        <v>0</v>
      </c>
      <c r="K23" s="1164">
        <f t="shared" si="13"/>
        <v>0</v>
      </c>
      <c r="L23" s="1164">
        <f t="shared" si="13"/>
        <v>85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1775</v>
      </c>
      <c r="X23" s="1164">
        <f t="shared" si="14"/>
        <v>69</v>
      </c>
      <c r="Y23" s="1165">
        <f t="shared" si="14"/>
        <v>1844</v>
      </c>
      <c r="Z23" s="1165">
        <f t="shared" si="14"/>
        <v>0</v>
      </c>
      <c r="AA23" s="1165">
        <f t="shared" si="14"/>
        <v>1128</v>
      </c>
      <c r="AB23" s="1165">
        <f t="shared" si="14"/>
        <v>116</v>
      </c>
      <c r="AC23" s="1165">
        <f t="shared" si="14"/>
        <v>1244</v>
      </c>
      <c r="AD23" s="1165">
        <f t="shared" si="14"/>
        <v>0</v>
      </c>
      <c r="AE23" s="1169">
        <f t="shared" si="14"/>
        <v>0</v>
      </c>
      <c r="AF23" s="1162">
        <f t="shared" si="14"/>
        <v>0</v>
      </c>
      <c r="AG23" s="1170">
        <f t="shared" si="14"/>
        <v>0</v>
      </c>
      <c r="AH23" s="1167">
        <f t="shared" si="14"/>
        <v>0</v>
      </c>
      <c r="AI23" s="1162">
        <f t="shared" si="14"/>
        <v>301</v>
      </c>
      <c r="AJ23" s="1164">
        <f t="shared" si="14"/>
        <v>0</v>
      </c>
      <c r="AK23" s="1167">
        <f t="shared" si="14"/>
        <v>0</v>
      </c>
      <c r="AL23" s="1171">
        <f>IF(ISNUMBER(NºAsuntos!G23/NºAsuntos!E23),NºAsuntos!G23/NºAsuntos!E23," - ")</f>
        <v>0.92786199686356507</v>
      </c>
      <c r="AM23" s="1171">
        <f>IF(ISNUMBER(((NºAsuntos!I23/NºAsuntos!G23)*11)/factor_trimestre),((NºAsuntos!I23/NºAsuntos!G23)*11)/factor_trimestre," - ")</f>
        <v>6.990422535211267</v>
      </c>
      <c r="AN23" s="1172">
        <f>IF(ISNUMBER('Resol  Asuntos'!D23/NºAsuntos!G23),'Resol  Asuntos'!D23/NºAsuntos!G23," - ")</f>
        <v>0.1695774647887324</v>
      </c>
      <c r="AO23" s="1173">
        <f>IF(ISNUMBER((NºAsuntos!C23+NºAsuntos!E23)/NºAsuntos!G23),(NºAsuntos!C23+NºAsuntos!E23)/NºAsuntos!G23," - ")</f>
        <v>1.6180281690140845</v>
      </c>
      <c r="AP23" s="1174" t="str">
        <f t="shared" si="2"/>
        <v xml:space="preserve"> - </v>
      </c>
      <c r="AQ23" s="1174">
        <f>IF(ISNUMBER((H23-W23+K23)/(F23)),(H23-W23+K23)/(F23)," - ")</f>
        <v>-1.9548458149779735</v>
      </c>
      <c r="AR23" s="1175">
        <f>IF(ISNUMBER((Datos!P23-Datos!Q23)/(Datos!R23-Datos!P23+Datos!Q23)),(Datos!P23-Datos!Q23)/(Datos!R23-Datos!P23+Datos!Q23)," - ")</f>
        <v>0.16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931</v>
      </c>
      <c r="G31" s="1118">
        <f t="shared" si="20"/>
        <v>982</v>
      </c>
      <c r="H31" s="1117">
        <f t="shared" si="20"/>
        <v>0</v>
      </c>
      <c r="I31" s="1119">
        <f t="shared" si="20"/>
        <v>0</v>
      </c>
      <c r="J31" s="1119">
        <f t="shared" si="20"/>
        <v>0</v>
      </c>
      <c r="K31" s="1180">
        <f t="shared" si="20"/>
        <v>0</v>
      </c>
      <c r="L31" s="1119">
        <f t="shared" si="20"/>
        <v>463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1806</v>
      </c>
      <c r="X31" s="1118">
        <f t="shared" si="21"/>
        <v>302</v>
      </c>
      <c r="Y31" s="1125">
        <f t="shared" si="21"/>
        <v>2108</v>
      </c>
      <c r="Z31" s="1125">
        <f t="shared" si="21"/>
        <v>0</v>
      </c>
      <c r="AA31" s="1125">
        <f t="shared" si="21"/>
        <v>1157</v>
      </c>
      <c r="AB31" s="1125">
        <f t="shared" si="21"/>
        <v>2374</v>
      </c>
      <c r="AC31" s="1125">
        <f t="shared" si="21"/>
        <v>1274</v>
      </c>
      <c r="AD31" s="1125">
        <f t="shared" si="21"/>
        <v>0</v>
      </c>
      <c r="AE31" s="1127">
        <f t="shared" si="21"/>
        <v>0</v>
      </c>
      <c r="AF31" s="1128">
        <f t="shared" si="21"/>
        <v>0</v>
      </c>
      <c r="AG31" s="1129">
        <f t="shared" si="21"/>
        <v>0</v>
      </c>
      <c r="AH31" s="1127">
        <f t="shared" si="21"/>
        <v>0</v>
      </c>
      <c r="AI31" s="1117">
        <f t="shared" si="21"/>
        <v>688</v>
      </c>
      <c r="AJ31" s="1117">
        <f t="shared" si="21"/>
        <v>0</v>
      </c>
      <c r="AK31" s="1127">
        <f t="shared" si="21"/>
        <v>0</v>
      </c>
      <c r="AL31" s="1183">
        <f>IF(ISNUMBER(NºAsuntos!G31/NºAsuntos!E31),NºAsuntos!G31/NºAsuntos!E31," - ")</f>
        <v>0.85002621919244892</v>
      </c>
      <c r="AM31" s="1184">
        <f>IF(ISNUMBER(((NºAsuntos!I31/NºAsuntos!G31)*11)/factor_trimestre),((NºAsuntos!I31/NºAsuntos!G31)*11)/factor_trimestre," - ")</f>
        <v>10.392658852560148</v>
      </c>
      <c r="AN31" s="1184">
        <f>IF(ISNUMBER('Resol  Asuntos'!D31/NºAsuntos!G31),'Resol  Asuntos'!D31/NºAsuntos!G31," - ")</f>
        <v>0.21221468229487969</v>
      </c>
      <c r="AO31" s="1185">
        <f>IF(ISNUMBER((NºAsuntos!C31+NºAsuntos!E31)/NºAsuntos!G31),(NºAsuntos!C31+NºAsuntos!E31)/NºAsuntos!G31," - ")</f>
        <v>1.9346082665021591</v>
      </c>
      <c r="AP31" s="1186" t="str">
        <f t="shared" si="2"/>
        <v xml:space="preserve"> - </v>
      </c>
      <c r="AQ31" s="1187">
        <f>IF(OR(ISNUMBER(FIND("01",Criterios!A8,1)),ISNUMBER(FIND("02",Criterios!A8,1)),ISNUMBER(FIND("03",Criterios!A8,1)),ISNUMBER(FIND("04",Criterios!A8,1))),(I31-W31+K31)/(F31-K31),(H31-W31+K31)/(F31-K31))</f>
        <v>-1.9398496240601504</v>
      </c>
      <c r="AR31" s="1188">
        <f>IF(ISNUMBER((Datos!P31-Datos!Q31)/(Datos!R31-Datos!P31+Datos!Q31)),(Datos!P31-Datos!Q31)/(Datos!R31-Datos!P31+Datos!Q31)," - ")</f>
        <v>7.2751920469950299E-2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280.57142857142856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463.06486226733585</v>
      </c>
      <c r="G33" s="277">
        <f>IF(ISNUMBER(STDEV(G8:G30)),STDEV(G8:G30),"-")</f>
        <v>437.25311401325172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782.28170544035265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175.04121963534354</v>
      </c>
      <c r="AJ33" s="276">
        <f t="shared" si="25"/>
        <v>0</v>
      </c>
      <c r="AK33" s="278">
        <f t="shared" si="25"/>
        <v>0</v>
      </c>
      <c r="AL33" s="273">
        <f t="shared" si="25"/>
        <v>7.3421638456428601E-2</v>
      </c>
      <c r="AM33" s="274">
        <f t="shared" si="25"/>
        <v>4.0494809088579959</v>
      </c>
      <c r="AN33" s="274">
        <f t="shared" si="25"/>
        <v>7.6725594766186803E-2</v>
      </c>
      <c r="AO33" s="275">
        <f t="shared" si="25"/>
        <v>0.37331873935837012</v>
      </c>
      <c r="AP33" s="317" t="str">
        <f t="shared" si="25"/>
        <v>-</v>
      </c>
      <c r="AQ33" s="318">
        <f t="shared" si="25"/>
        <v>0.42922776599798268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RAAfdwnblWWApc/PuDQtSF65KHPcHujd4+zGyn6N7zKUAFSxB/mDVtZVsXABN4nppV/V9+qdIudfF9AiA68ahw==" saltValue="Ib5qFjrcWdM5IkVH5cLYZ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VALDEPEÑAS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0.68181818181818177</v>
      </c>
      <c r="F10" s="393">
        <f>IF(ISNUMBER((Datos!K10-Datos!U10)/Datos!U10),(Datos!K10-Datos!U10)/Datos!U10," - ")</f>
        <v>0.40909090909090912</v>
      </c>
      <c r="G10" s="394">
        <f>IF(ISNUMBER((Datos!L10-Datos!V10)/Datos!V10),(Datos!L10-Datos!V10)/Datos!V10," - ")</f>
        <v>0.2608695652173913</v>
      </c>
      <c r="H10" s="244">
        <f>IF(ISNUMBER((Datos!M10-Datos!W10)/Datos!W10),(Datos!M10-Datos!W10)/Datos!W10," - ")</f>
        <v>0.375</v>
      </c>
      <c r="I10" s="395">
        <f>IF(ISNUMBER((Tasas!C10-Datos!BE10)/Datos!BE10),(Tasas!C10-Datos!BE10)/Datos!BE10," - ")</f>
        <v>-0.10518934081346425</v>
      </c>
      <c r="J10" s="394">
        <f>IF(ISNUMBER((Tasas!D10-Datos!BF10)/Datos!BF10),(Tasas!D10-Datos!BF10)/Datos!BF10," - ")</f>
        <v>-2.4193548387096753E-2</v>
      </c>
      <c r="K10" s="396">
        <f>IF(ISNUMBER((Tasas!E10-Datos!BG10)/Datos!BG10),(Tasas!E10-Datos!BG10)/Datos!BG10," - ")</f>
        <v>-5.3763440860215006E-2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0.37046221437144733</v>
      </c>
      <c r="J12" s="394">
        <f>IF(ISNUMBER((Tasas!D12-Datos!BF12)/Datos!BF12),(Tasas!D12-Datos!BF12)/Datos!BF12," - ")</f>
        <v>-0.33823916628556389</v>
      </c>
      <c r="K12" s="396">
        <f>IF(ISNUMBER((Tasas!E12-Datos!BG12)/Datos!BG12),(Tasas!E12-Datos!BG12)/Datos!BG12," - ")</f>
        <v>4.1633754257467438E-2</v>
      </c>
      <c r="M12" t="e">
        <f>IF(Monitorios="SI",Datos!CE12,0)</f>
        <v>#REF!</v>
      </c>
      <c r="N12" t="e">
        <f>IF(Monitorios="SI",Datos!CF12,0)</f>
        <v>#REF!</v>
      </c>
      <c r="O12" t="e">
        <f>IF(Monitorios="SI",Datos!CG12,0)</f>
        <v>#REF!</v>
      </c>
      <c r="P12" t="e">
        <f>IF(Monitorios="SI",Datos!CH12,0)</f>
        <v>#REF!</v>
      </c>
      <c r="Q12">
        <f>IF(J_V="SI",0,Datos!AG12)</f>
        <v>56</v>
      </c>
      <c r="R12">
        <f>IF(J_V="SI",0,Datos!AH12)</f>
        <v>99</v>
      </c>
      <c r="S12">
        <f>IF(J_V="SI",0,Datos!AI12)</f>
        <v>100</v>
      </c>
      <c r="T12">
        <f>IF(J_V="SI",0,Datos!AJ12)</f>
        <v>46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7.8125E-3</v>
      </c>
      <c r="I14" s="402">
        <f>IF(ISNUMBER((Tasas!C14-Datos!BE14)/Datos!BE14),(Tasas!C14-Datos!BE14)/Datos!BE14," - ")</f>
        <v>0.36037521947146756</v>
      </c>
      <c r="J14" s="400">
        <f>IF(ISNUMBER((Tasas!D14-Datos!BF14)/Datos!BF14),(Tasas!D14-Datos!BF14)/Datos!BF14," - ")</f>
        <v>-0.33250328838372178</v>
      </c>
      <c r="K14" s="403">
        <f>IF(ISNUMBER((Tasas!E14-Datos!BG14)/Datos!BG14),(Tasas!E14-Datos!BG14)/Datos!BG14," - ")</f>
        <v>3.9180612294927669E-2</v>
      </c>
      <c r="M14" t="e">
        <f>IF(Monitorios="SI",Datos!CE14,0)</f>
        <v>#REF!</v>
      </c>
      <c r="N14" t="e">
        <f>IF(Monitorios="SI",Datos!CF14,0)</f>
        <v>#REF!</v>
      </c>
      <c r="O14" t="e">
        <f>IF(Monitorios="SI",Datos!CG14,0)</f>
        <v>#REF!</v>
      </c>
      <c r="P14" t="e">
        <f>IF(Monitorios="SI",Datos!CH14,0)</f>
        <v>#REF!</v>
      </c>
      <c r="Q14">
        <f>IF(J_V="SI",0,Datos!AG14)</f>
        <v>56</v>
      </c>
      <c r="R14">
        <f>IF(J_V="SI",0,Datos!AH14)</f>
        <v>99</v>
      </c>
      <c r="S14">
        <f>IF(J_V="SI",0,Datos!AI14)</f>
        <v>100</v>
      </c>
      <c r="T14">
        <f>IF(J_V="SI",0,Datos!AJ14)</f>
        <v>46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5.9107358262967431E-2</v>
      </c>
      <c r="E17" s="393">
        <f>IF(ISNUMBER(
   IF(D_I="SI",(Datos!J17-Datos!T17)/Datos!T17,(Datos!J17+Datos!AD17-(Datos!T17+Datos!AL17))/(Datos!T17+Datos!AL17))
     ),IF(D_I="SI",(Datos!J17-Datos!T17)/Datos!T17,(Datos!J17+Datos!AD17-(Datos!T17+Datos!AL17))/(Datos!T17+Datos!AL17))," - ")</f>
        <v>0.12129565816678153</v>
      </c>
      <c r="F17" s="393">
        <f>IF(ISNUMBER(
   IF(D_I="SI",(Datos!K17-Datos!U17)/Datos!U17,(Datos!K17+Datos!AE17-(Datos!U17+Datos!AM17))/(Datos!U17+Datos!AM17))
     ),IF(D_I="SI",(Datos!K17-Datos!U17)/Datos!U17,(Datos!K17+Datos!AE17-(Datos!U17+Datos!AM17))/(Datos!U17+Datos!AM17))," - ")</f>
        <v>0.11249086924762601</v>
      </c>
      <c r="G17" s="394">
        <f>IF(ISNUMBER(
   IF(D_I="SI",(Datos!L17-Datos!V17)/Datos!V17,(Datos!L17+Datos!AF17-(Datos!V17+Datos!AN17))/(Datos!V17+Datos!AN17))
     ),IF(D_I="SI",(Datos!L17-Datos!V17)/Datos!V17,(Datos!L17+Datos!AF17-(Datos!V17+Datos!AN17))/(Datos!V17+Datos!AN17))," - ")</f>
        <v>0.15261958997722094</v>
      </c>
      <c r="H17" s="244">
        <f>IF(ISNUMBER((Datos!M17-Datos!W17)/Datos!W17),(Datos!M17-Datos!W17)/Datos!W17," - ")</f>
        <v>8.7866108786610872E-2</v>
      </c>
      <c r="I17" s="395">
        <f>IF(ISNUMBER((Tasas!C17-Datos!BE17)/Datos!BE17),(Tasas!C17-Datos!BE17)/Datos!BE17," - ")</f>
        <v>3.6071056256609023E-2</v>
      </c>
      <c r="J17" s="394">
        <f>IF(ISNUMBER((Tasas!D17-Datos!BF17)/Datos!BF17),(Tasas!D17-Datos!BF17)/Datos!BF17," - ")</f>
        <v>-2.2134797814267589E-2</v>
      </c>
      <c r="K17" s="396">
        <f>IF(ISNUMBER((Tasas!E17-Datos!BG17)/Datos!BG17),(Tasas!E17-Datos!BG17)/Datos!BG17," - ")</f>
        <v>-1.241058160832146E-2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0.30645161290322581</v>
      </c>
      <c r="E18" s="393">
        <f>IF(ISNUMBER(
   IF(D_I="SI",(Datos!J18-Datos!T18)/Datos!T18,(Datos!J18+Datos!AD18-(Datos!T18+Datos!AL18))/(Datos!T18+Datos!AL18))
     ),IF(D_I="SI",(Datos!J18-Datos!T18)/Datos!T18,(Datos!J18+Datos!AD18-(Datos!T18+Datos!AL18))/(Datos!T18+Datos!AL18))," - ")</f>
        <v>0.40196078431372551</v>
      </c>
      <c r="F18" s="393">
        <f>IF(ISNUMBER(
   IF(D_I="SI",(Datos!K18-Datos!U18)/Datos!U18,(Datos!K18+Datos!AE18-(Datos!U18+Datos!AM18))/(Datos!U18+Datos!AM18))
     ),IF(D_I="SI",(Datos!K18-Datos!U18)/Datos!U18,(Datos!K18+Datos!AE18-(Datos!U18+Datos!AM18))/(Datos!U18+Datos!AM18))," - ")</f>
        <v>0.27918781725888325</v>
      </c>
      <c r="G18" s="394">
        <f>IF(ISNUMBER(
   IF(D_I="SI",(Datos!L18-Datos!V18)/Datos!V18,(Datos!L18+Datos!AF18-(Datos!V18+Datos!AN18))/(Datos!V18+Datos!AN18))
     ),IF(D_I="SI",(Datos!L18-Datos!V18)/Datos!V18,(Datos!L18+Datos!AF18-(Datos!V18+Datos!AN18))/(Datos!V18+Datos!AN18))," - ")</f>
        <v>0.43209876543209874</v>
      </c>
      <c r="H18" s="244">
        <f>IF(ISNUMBER((Datos!M18-Datos!W18)/Datos!W18),(Datos!M18-Datos!W18)/Datos!W18," - ")</f>
        <v>1.2777777777777777</v>
      </c>
      <c r="I18" s="395">
        <f>IF(ISNUMBER((Tasas!C18-Datos!BE18)/Datos!BE18),(Tasas!C18-Datos!BE18)/Datos!BE18," - ")</f>
        <v>0.11953752694493426</v>
      </c>
      <c r="J18" s="394">
        <f>IF(ISNUMBER((Tasas!D18-Datos!BF18)/Datos!BF18),(Tasas!D18-Datos!BF18)/Datos!BF18," - ")</f>
        <v>0.7806437389770724</v>
      </c>
      <c r="K18" s="396">
        <f>IF(ISNUMBER((Tasas!E18-Datos!BG18)/Datos!BG18),(Tasas!E18-Datos!BG18)/Datos!BG18," - ")</f>
        <v>7.8574412221028678E-2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7.6318742985409652E-2</v>
      </c>
      <c r="E23" s="399">
        <f>IF(ISNUMBER(
   IF(D_I="SI",(Datos!J23-Datos!T23)/Datos!T23,(Datos!J23+Datos!AD23-(Datos!T23+Datos!AL23))/(Datos!T23+Datos!AL23))
     ),IF(D_I="SI",(Datos!J23-Datos!T23)/Datos!T23,(Datos!J23+Datos!AD23-(Datos!T23+Datos!AL23))/(Datos!T23+Datos!AL23))," - ")</f>
        <v>0.15589123867069488</v>
      </c>
      <c r="F23" s="399">
        <f>IF(ISNUMBER(
   IF(D_I="SI",(Datos!K23-Datos!U23)/Datos!U23,(Datos!K23+Datos!AE23-(Datos!U23+Datos!AM23))/(Datos!U23+Datos!AM23))
     ),IF(D_I="SI",(Datos!K23-Datos!U23)/Datos!U23,(Datos!K23+Datos!AE23-(Datos!U23+Datos!AM23))/(Datos!U23+Datos!AM23))," - ")</f>
        <v>0.1334610472541507</v>
      </c>
      <c r="G23" s="400">
        <f>IF(ISNUMBER(
   IF(D_I="SI",(Datos!L23-Datos!V23)/Datos!V23,(Datos!L23+Datos!AF23-(Datos!V23+Datos!AN23))/(Datos!V23+Datos!AN23))
     ),IF(D_I="SI",(Datos!L23-Datos!V23)/Datos!V23,(Datos!L23+Datos!AF23-(Datos!V23+Datos!AN23))/(Datos!V23+Datos!AN23))," - ")</f>
        <v>0.17622523461939521</v>
      </c>
      <c r="H23" s="401">
        <f>IF(ISNUMBER((Datos!M23-Datos!W23)/Datos!W23),(Datos!M23-Datos!W23)/Datos!W23," - ")</f>
        <v>0.17120622568093385</v>
      </c>
      <c r="I23" s="402">
        <f>IF(ISNUMBER((Tasas!C23-Datos!BE23)/Datos!BE23),(Tasas!C23-Datos!BE23)/Datos!BE23," - ")</f>
        <v>3.7728854881111468E-2</v>
      </c>
      <c r="J23" s="400">
        <f>IF(ISNUMBER((Tasas!D23-Datos!BF23)/Datos!BF23),(Tasas!D23-Datos!BF23)/Datos!BF23," - ")</f>
        <v>3.3300816572587245E-2</v>
      </c>
      <c r="K23" s="403">
        <f>IF(ISNUMBER((Tasas!E23-Datos!BG23)/Datos!BG23),(Tasas!E23-Datos!BG23)/Datos!BG23," - ")</f>
        <v>-4.7792173306927671E-3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-0.10455373406193079</v>
      </c>
      <c r="E31" s="409">
        <f>IF(ISNUMBER(
   IF(J_V="SI",(Datos!J31-Datos!T31)/Datos!T31,(Datos!J31+Datos!Z31-(Datos!T31+Datos!AH31))/(Datos!T31+Datos!AH31))
     ),IF(J_V="SI",(Datos!J31-Datos!T31)/Datos!T31,(Datos!J31+Datos!Z31-(Datos!T31+Datos!AH31))/(Datos!T31+Datos!AH31))," - ")</f>
        <v>0.17389966143428748</v>
      </c>
      <c r="F31" s="409">
        <f>IF(ISNUMBER(
   IF(J_V="SI",(Datos!K31-Datos!U31)/Datos!U31,(Datos!K31+Datos!AA31-(Datos!U31+Datos!AI31))/(Datos!U31+Datos!AI31))
     ),IF(J_V="SI",(Datos!K31-Datos!U31)/Datos!U31,(Datos!K31+Datos!AA31-(Datos!U31+Datos!AI31))/(Datos!U31+Datos!AI31))," - ")</f>
        <v>4.1773778920308487E-2</v>
      </c>
      <c r="G31" s="410">
        <f>IF(ISNUMBER(
   IF(J_V="SI",(Datos!L31-Datos!V31)/Datos!V31,(Datos!L31+Datos!AB31-(Datos!V31+Datos!AJ31))/(Datos!V31+Datos!AJ31))
     ),IF(J_V="SI",(Datos!L31-Datos!V31)/Datos!V31,(Datos!L31+Datos!AB31-(Datos!V31+Datos!AJ31))/(Datos!V31+Datos!AJ31))," - ")</f>
        <v>0.24613506916192027</v>
      </c>
      <c r="H31" s="411">
        <f>IF(ISNUMBER((Datos!M31-Datos!W31)/Datos!W31),(Datos!M31-Datos!W31)/Datos!W31," - ")</f>
        <v>7.3322932917316688E-2</v>
      </c>
      <c r="I31" s="408">
        <f>IF(ISNUMBER((Tasas!C31-Datos!BE31)/Datos!BE31),(Tasas!C31-Datos!BE31)/Datos!BE31," - ")</f>
        <v>0.19616666725228124</v>
      </c>
      <c r="J31" s="409">
        <f>IF(ISNUMBER((Tasas!D31-Datos!BF31)/Datos!BF31),(Tasas!D31-Datos!BF31)/Datos!BF31," - ")</f>
        <v>-0.23915657684139902</v>
      </c>
      <c r="K31" s="410">
        <f>IF(ISNUMBER((Tasas!E31-Datos!BG31)/Datos!BG31),(Tasas!E31-Datos!BG31)/Datos!BG31," - ")</f>
        <v>4.4212421345878293E-3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0.13468091032353338</v>
      </c>
      <c r="E33" s="303">
        <f t="shared" si="1"/>
        <v>0.25974744151858548</v>
      </c>
      <c r="F33" s="303">
        <f t="shared" si="1"/>
        <v>0.13852861617027398</v>
      </c>
      <c r="G33" s="304">
        <f t="shared" si="1"/>
        <v>0.12660281019475822</v>
      </c>
      <c r="H33" s="310">
        <f t="shared" si="1"/>
        <v>0.48913188784118772</v>
      </c>
      <c r="I33" s="302">
        <f t="shared" si="1"/>
        <v>0.19152107268736662</v>
      </c>
      <c r="J33" s="303">
        <f t="shared" si="1"/>
        <v>0.40865363124556936</v>
      </c>
      <c r="K33" s="304">
        <f t="shared" si="1"/>
        <v>4.7342000515950645E-2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lMIRsqLL18CRPzA9FU0dD1Uyb/bk8k90TwjOXO10XGc9BuGLwUKQgTmp/SSOKZoFcpujHIg8Ktn+LLLBspXqw==" saltValue="MRKqAQliNu3hmS4Z80n17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